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tabRatio="837" firstSheet="3" activeTab="3"/>
  </bookViews>
  <sheets>
    <sheet name="สรุป" sheetId="1" r:id="rId1"/>
    <sheet name="สรุป-ตัดรายวิชา" sheetId="2" r:id="rId2"/>
    <sheet name="สรุป-บัณฑิต" sheetId="3" r:id="rId3"/>
    <sheet name="ใช้ฐานคนเดียวกับ 1.2 วุฒิ ป.เอก" sheetId="4" r:id="rId4"/>
    <sheet name="แม่โจ้-แพร่" sheetId="5" r:id="rId5"/>
    <sheet name="แม่โจ้-ชุมพร" sheetId="6" r:id="rId6"/>
  </sheets>
  <definedNames>
    <definedName name="_xlnm.Print_Titles" localSheetId="3">'ใช้ฐานคนเดียวกับ 1.2 วุฒิ ป.เอก'!$3:$6</definedName>
    <definedName name="_xlnm.Print_Titles" localSheetId="5">'แม่โจ้-ชุมพร'!$3:$5</definedName>
    <definedName name="_xlnm.Print_Titles" localSheetId="4">'แม่โจ้-แพร่'!$3:$5</definedName>
    <definedName name="_xlnm.Print_Titles" localSheetId="1">'สรุป-ตัดรายวิชา'!$3:$5</definedName>
    <definedName name="_xlnm.Print_Titles" localSheetId="2">'สรุป-บัณฑิต'!$3:$5</definedName>
  </definedNames>
  <calcPr fullCalcOnLoad="1"/>
</workbook>
</file>

<file path=xl/sharedStrings.xml><?xml version="1.0" encoding="utf-8"?>
<sst xmlns="http://schemas.openxmlformats.org/spreadsheetml/2006/main" count="653" uniqueCount="164">
  <si>
    <t>ระดับ</t>
  </si>
  <si>
    <t>การ</t>
  </si>
  <si>
    <t>ศึกษา</t>
  </si>
  <si>
    <t>จำนวน</t>
  </si>
  <si>
    <t>อาจารย์</t>
  </si>
  <si>
    <t>คณะผลิตกรรมการเกษตร</t>
  </si>
  <si>
    <t>คณะวิทยาศาสตร์</t>
  </si>
  <si>
    <t>ที่ได้รับการปรับน้ำหนักเป็นปริญญาตรีแล้ว</t>
  </si>
  <si>
    <t>ป.ตรี</t>
  </si>
  <si>
    <t>ป.โท - เอก</t>
  </si>
  <si>
    <t>คณะวิศวกรรมและ</t>
  </si>
  <si>
    <t>จำนวนหน่วยกิตนักศึกษา</t>
  </si>
  <si>
    <t>(SCH)</t>
  </si>
  <si>
    <t>ในคณะ</t>
  </si>
  <si>
    <t xml:space="preserve">อุตสาหกรรมเกษตร </t>
  </si>
  <si>
    <t>ภาคฤดูร้อน</t>
  </si>
  <si>
    <t>เฉลิมพระเกียรติ</t>
  </si>
  <si>
    <t>ภาค 1</t>
  </si>
  <si>
    <t>ภาค 2</t>
  </si>
  <si>
    <t>มหาวิทยาลัยแม่โจ้ - ชุมพร</t>
  </si>
  <si>
    <t xml:space="preserve"> ปรับ</t>
  </si>
  <si>
    <t xml:space="preserve">หมายเหตุ      </t>
  </si>
  <si>
    <t>คณะบริหารธุรกิจ</t>
  </si>
  <si>
    <t>คณะเศรษฐศาสตร์</t>
  </si>
  <si>
    <t>คณะศิลปศาสตร์</t>
  </si>
  <si>
    <t>คณะเทคโนโลยีการประมง</t>
  </si>
  <si>
    <t>และทรัพยากรทางน้ำ</t>
  </si>
  <si>
    <t>หมายเหตุ</t>
  </si>
  <si>
    <t xml:space="preserve">คณะพัฒนาการท่องเที่ยว </t>
  </si>
  <si>
    <t>วิทยาลัยบริหารศาสตร์</t>
  </si>
  <si>
    <t>คณะสถาปัตยกรรมและ</t>
  </si>
  <si>
    <t>การออกแบบสิ่งแวดล้อม</t>
  </si>
  <si>
    <t>รายวิชาร่วมมหาวิทยาลัย</t>
  </si>
  <si>
    <t>มจ</t>
  </si>
  <si>
    <t>QA</t>
  </si>
  <si>
    <t>1 : 25</t>
  </si>
  <si>
    <t>1 : 20</t>
  </si>
  <si>
    <t>1 : 8</t>
  </si>
  <si>
    <t>มหาวิทยาลัยแม่โจ้ - แพร่</t>
  </si>
  <si>
    <t>รวม</t>
  </si>
  <si>
    <t>รวมภาค 1 และ 2</t>
  </si>
  <si>
    <t>สัดส่วนอาจารย์ : FTES</t>
  </si>
  <si>
    <t>คณะสัตวศาสตร์และเทคโนโลยี</t>
  </si>
  <si>
    <t xml:space="preserve">      กลุ่มสาขาวิชาวิทยาศาสตร์กายภาพ    กลุ่มเกษตรศาสตร์และกลุ่มวิศวกรรมศาสตร์  คูณด้วย  2.0     กลุ่มสถาปัตยกรรมศาสตร์  คูณด้วย  1</t>
  </si>
  <si>
    <t xml:space="preserve">1.  ปรับน้ำหนักระดับบัณฑิตศึกษา เป็น ระดับปริญญาตรี โดย ระดับบัณฑิตศึกษา  กลุ่มสาขาวิชาสังคมศาสตร์และมานุษยศาสตร์ และกลุ่มสาขาวิชาบริหารธุรกิจ  การจัดการ ฯ   คูณด้วย  1.8   </t>
  </si>
  <si>
    <t xml:space="preserve">คณะ/โครงการ  </t>
  </si>
  <si>
    <t>3.  ข้อมูลจำนวนนักศึกษาลงทะเบียนเรียน จำนวนรายวิชาและหน่วยกิตของรายวิชา ปีการศึกษา 1/2555  ณ 13 กรกฎาคม 2555</t>
  </si>
  <si>
    <r>
      <t>จำนวนนักศึกษาเต็มเวลา</t>
    </r>
    <r>
      <rPr>
        <b/>
        <sz val="16"/>
        <rFont val="TH Niramit AS"/>
        <family val="0"/>
      </rPr>
      <t xml:space="preserve"> (FTES)</t>
    </r>
  </si>
  <si>
    <t>ป.โท-เอก</t>
  </si>
  <si>
    <t>คณะสารสนเทศและการสื่อสาร</t>
  </si>
  <si>
    <t xml:space="preserve">        งานวิจัยสถาบัน กองแผนงาน</t>
  </si>
  <si>
    <t xml:space="preserve">คณะวิศวกรรมและอุตสาหกรรมเกษตร </t>
  </si>
  <si>
    <t>คณะเทคโนโลยีการประมงและทรัพยากรทางน้ำ</t>
  </si>
  <si>
    <t>ตารางที่ 1 สรุปจำนวนหน่วยกิตนักศึกษา (SCH) จำนวนนักศึกษาเต็มเวลา (FTES) และสัดส่วนอาจารย์  ต่อ  FTES จำแนกตามคณะและระดับการศึกษา ปีการศึกษา 2555 (ภาคปกติ)</t>
  </si>
  <si>
    <t xml:space="preserve">     ปีการศึกษา 2/2555 ณ 26 พฤศจิกายน 2555</t>
  </si>
  <si>
    <t>2.  ข้อมูลจำนวนอาจารย์ ณ 17 ธันวาคม 2555</t>
  </si>
  <si>
    <t>วิทยาลัยพลังงาน</t>
  </si>
  <si>
    <t xml:space="preserve">4.  ตัดรายวิชา พล การเลี้ยงปลาสวยงาม อ.ดร.กระสินธุ์ จำนวน 408 </t>
  </si>
  <si>
    <t>5.  ภาค 1  ตัดรายวิชา จป 414 การประกวดและการตัดสินสัตว์น้ำ ผศ.ดร.ประจวบ  ฉายบุ จำนวน 795</t>
  </si>
  <si>
    <t xml:space="preserve">    ภาค 2  ตัดรายวิชา จป 414 การประกวดและการตัดสินสัตว์น้ำ ผศ.ดร.ประจวบ  ฉายบุ และ ผศ.ดร.ชนกันต์ จิตมนัส จำนวน 951</t>
  </si>
  <si>
    <t xml:space="preserve">    และรายวิชา พล 322 การเลี้ยงปลาสวยงาม อ.ดร.ประเสริฐ  ประสงค์ผลและนายประเสริฐ  ประสงค์ผล จำนวน 522</t>
  </si>
  <si>
    <t xml:space="preserve">6.  ตัดรายวิชา รพ 471 วิทยาการเห็ด จำนวน 480 </t>
  </si>
  <si>
    <t>7. ข้อมูลอาจารย์ไม่รวมจำนวนอาจารย์จากวิทยาลัยพลังงานทดแทน จำนวน 5 คน</t>
  </si>
  <si>
    <t xml:space="preserve">     กลุ่มสาขาวิชาวิทยาศาสตร์กายภาพ กลุ่มเกษตรศาสตร์และกลุ่มวิศวกรรมศาสตร์  คูณด้วย  2.0 กลุ่มสถาปัตยกรรมศาสตร์  คูณด้วย  1</t>
  </si>
  <si>
    <t xml:space="preserve">คณะ/วิทยาลัย </t>
  </si>
  <si>
    <t>ตารางที่ 1 สรุปจำนวนหน่วยกิตนักศึกษา (SCH) จำนวนนักศึกษาเต็มเวลา (FTES) และสัดส่วนอาจารย์  ต่อ  FTES จำแนกตามคณะและระดับการศึกษา ปีการศึกษา 2556 (ภาคปกติ)</t>
  </si>
  <si>
    <t>2.  ข้อมูลจำนวนอาจารย์ ณ 28 พฤศจิกายน 2556</t>
  </si>
  <si>
    <t>3.  ข้อมูลจำนวนนักศึกษาลงทะเบียนเรียน จำนวนรายวิชาและหน่วยกิตของรายวิชา ปีการศึกษา 1/2556  ณ 1 กรกฎาคม 2556 และปีการศึกษา 2/2556 ณ 18 พฤศจิกายน 2556</t>
  </si>
  <si>
    <t>สถาปัตยกรรมและการออกแบบสิ่งแวดลอ้ม</t>
  </si>
  <si>
    <t>1:25</t>
  </si>
  <si>
    <t>1:20</t>
  </si>
  <si>
    <t>1:8</t>
  </si>
  <si>
    <t>บัณฑิตวิทยาลัย</t>
  </si>
  <si>
    <t>จำนวนนักศึกษาเต็มเวลา (FTES)</t>
  </si>
  <si>
    <r>
      <t>จำนวนนักศึกษาเต็มเวลา</t>
    </r>
    <r>
      <rPr>
        <b/>
        <sz val="16"/>
        <rFont val="TH Niramit AS"/>
        <family val="0"/>
      </rPr>
      <t xml:space="preserve"> </t>
    </r>
    <r>
      <rPr>
        <sz val="16"/>
        <rFont val="TH Niramit AS"/>
        <family val="0"/>
      </rPr>
      <t>(FTES)</t>
    </r>
  </si>
  <si>
    <t>ตารางที่ 1 สรุปจำนวนหน่วยกิตนักศึกษา (SCH) จำนวนนักศึกษาเต็มเวลา (FTES) และสัดส่วนอาจารย์ต่อ FTES จำแนกตามคณะและระดับการศึกษา ปีการศึกษา 2557 (ภาคปกติ)</t>
  </si>
  <si>
    <t>2.  ข้อมูลจำนวนอาจารย์ ณ 17 กุมภาพันธ์ 2558</t>
  </si>
  <si>
    <t>3.  ข้อมูลจำนวนนักศึกษาลงทะเบียนเรียน จำนวนรายวิชาและหน่วยกิตของรายวิชา ปีการศึกษา 1/2557 ณ 26 สิงหาคม 2557 และปีการศึกษา 2/2557 ณ 30 มกราคม 2558</t>
  </si>
  <si>
    <t>วิทยาลัยพลังงานทดแทน</t>
  </si>
  <si>
    <t>ร้อยละ</t>
  </si>
  <si>
    <t>คะแนนที่ได้</t>
  </si>
  <si>
    <t>เกณฑ์</t>
  </si>
  <si>
    <t>สัดส่วน</t>
  </si>
  <si>
    <t>อ./นศ.</t>
  </si>
  <si>
    <t>ป.โท</t>
  </si>
  <si>
    <t>ป. เอก</t>
  </si>
  <si>
    <t>มหาวิทยาลัยแม่โจ้</t>
  </si>
  <si>
    <t>ป.เอก</t>
  </si>
  <si>
    <t>FTES</t>
  </si>
  <si>
    <t>ปรับเป็น ป.ตรี</t>
  </si>
  <si>
    <t>ห้ามลบ</t>
  </si>
  <si>
    <t>ใช้คำนวณ</t>
  </si>
  <si>
    <t>แต่การคำนวณ เราจะเอาแค่ 2 ทศนิยมเท่านั้น  ดังนั้น จึงต้องมาให้ตัวเลขเอง แล้วค่อยมาคำนวณค่ะ</t>
  </si>
  <si>
    <t>ดูตรงช่อง FTES รวม การคำนวณจะเป็นทศนิยมหลายตำแหน่ง</t>
  </si>
  <si>
    <t xml:space="preserve">ตัวบ่งชี้ที่ 1.4  จำนวนนักศึกษาเต็มเวลาเทียบเท่าต่อจำนวนอาจารย์ประจำ   </t>
  </si>
  <si>
    <t>ข้อมูลที่ใช้ :</t>
  </si>
  <si>
    <t>จัดทำโดย  :</t>
  </si>
  <si>
    <t xml:space="preserve">  หมาย   เหตุ   QA</t>
  </si>
  <si>
    <t>4.  วิเคราะห์ข้อมูล</t>
  </si>
  <si>
    <t>ข้อมูล FTES</t>
  </si>
  <si>
    <t>: กองแผนงาน</t>
  </si>
  <si>
    <t>สูตรคำนวณ :  กองการเจ้าหน้าที่</t>
  </si>
  <si>
    <t>ตรวจสอบข้อมูล  :  สำนักงานคุณภาพและมาตรฐานการศึกษา</t>
  </si>
  <si>
    <t>ปีการศึกษา 2559  ภาคปกติ</t>
  </si>
  <si>
    <t xml:space="preserve">ตัวบ่งชี้ที่ 1.4 จำนวนนักศึกษาเต็มเวลาเทียบเท่าต่อจำนวนอาจารย์ประจำของมหาวิทยาลัยแม่โจ้-แพร่เฉลิมพระเกียรติ </t>
  </si>
  <si>
    <t>ปีการศึกษา 2559 (ภาคปกติ)</t>
  </si>
  <si>
    <t>กลุ่มสาขาวิชา/รหัสวิชา</t>
  </si>
  <si>
    <t>ระดับการศึกษา</t>
  </si>
  <si>
    <t xml:space="preserve">จำนวนหน่วยกิตนักศึกษา (SCH) </t>
  </si>
  <si>
    <t>จำนวนอาจารย์</t>
  </si>
  <si>
    <t>อาจารย์ : FTES</t>
  </si>
  <si>
    <t>วิทยาศาสตร์กายภาพ</t>
  </si>
  <si>
    <t>วท</t>
  </si>
  <si>
    <t>คศ</t>
  </si>
  <si>
    <t>สต</t>
  </si>
  <si>
    <t>คม</t>
  </si>
  <si>
    <t>ชว</t>
  </si>
  <si>
    <t>ฟส</t>
  </si>
  <si>
    <t>คพ</t>
  </si>
  <si>
    <t>ดป</t>
  </si>
  <si>
    <t>กฎ</t>
  </si>
  <si>
    <t>กป</t>
  </si>
  <si>
    <t>ผษ</t>
  </si>
  <si>
    <t>ผส</t>
  </si>
  <si>
    <t>ทพ</t>
  </si>
  <si>
    <t>พล</t>
  </si>
  <si>
    <t>วก</t>
  </si>
  <si>
    <t>ทอ</t>
  </si>
  <si>
    <t>สังคมศึกษาและมานุษยศาสตร์</t>
  </si>
  <si>
    <t>กช</t>
  </si>
  <si>
    <t>รศ</t>
  </si>
  <si>
    <t>ศป</t>
  </si>
  <si>
    <t>ศท</t>
  </si>
  <si>
    <t>รป</t>
  </si>
  <si>
    <t>กง</t>
  </si>
  <si>
    <t>กต</t>
  </si>
  <si>
    <t>กจ</t>
  </si>
  <si>
    <t>บช</t>
  </si>
  <si>
    <t>บธ</t>
  </si>
  <si>
    <t>สธ</t>
  </si>
  <si>
    <t>ศส</t>
  </si>
  <si>
    <t>ศศ</t>
  </si>
  <si>
    <t>ศล</t>
  </si>
  <si>
    <t>พท</t>
  </si>
  <si>
    <t xml:space="preserve">หมายเหตุ                 </t>
  </si>
  <si>
    <t>1.  ข้อมูลจำนวนอาจารย์ ณ 9 มีนาคม 2560</t>
  </si>
  <si>
    <t>2.  ข้อมูลจำนวนนักศึกษาลงทะเบียนเรียน  จำนวนรายวิชาและหน่วยกิตของรายวิชา  ปีการศึกษา 1/2559  ณ 15 กันยายน 2559</t>
  </si>
  <si>
    <t xml:space="preserve">     และปีการศึกษา 2/2559 ณ 9 มีนาคม 2560</t>
  </si>
  <si>
    <t>ตัวบ่งชี้ที่ 1.4 จำนวนนักศึกษาเต็มเวลาเทียบเท่าต่อจำนวนอาจารย์ประจำของมหาวิทยาลัยแม่โจ้-ชุมพร</t>
  </si>
  <si>
    <t>จป</t>
  </si>
  <si>
    <t>ชป</t>
  </si>
  <si>
    <t>ทป</t>
  </si>
  <si>
    <t>นศ</t>
  </si>
  <si>
    <t>บศ</t>
  </si>
  <si>
    <t>3. ยังไม่รวม สหกิจศึกษา จำนวน 3,726 หน่วยกิต</t>
  </si>
  <si>
    <t>3. ยังไม่รวม สหกิจศึกษา จำนวน 99 หน่วยกิต</t>
  </si>
  <si>
    <t>กลุ่มวิทย์</t>
  </si>
  <si>
    <t>กลุ่มมนุษย์ฯ</t>
  </si>
  <si>
    <t xml:space="preserve"> -กลุ่มสาขาวิชาวิทยาศาสตร์กายภาพ กลุ่มเกษตรศาสตร์ กลุ่มวิศวกรรมศาสตร์ และกลุ่มสถาปัตยกรรมศาสตร์และการผังเมือง FTES ป.โท-เอก คูณด้วย  2.0</t>
  </si>
  <si>
    <t>3.  ข้อมูลจำนวนนักศึกษาลงทะเบียนเรียน จำนวนรายวิชาและหน่วยกิตของรายวิชา ปีการศึกษา 1/2559  ณ 15 กันยายน 2559  และ ปีการศึกษา 2/2559  ณ 9 มีนาคม 2560</t>
  </si>
  <si>
    <t xml:space="preserve"> -กลุ่มสาขาวิชามนุษยศาสตร์และสังคมศาสตร์ และกลุ่มสาขาวิชาบริหารธุรกิจ  การจัดการ ฯ   FTES ป.โท-เอก คูณด้วย  1.8</t>
  </si>
  <si>
    <t xml:space="preserve">1.  ปรับน้ำหนักระดับบัณฑิตศึกษา เป็น ระดับปริญญาตรี โดย ระดับบัณฑิตศึกษา  </t>
  </si>
  <si>
    <t>2.  ข้อมูลจำนวนอาจารย์ ณ 11  มิถุนายน 2560</t>
  </si>
  <si>
    <t>งานวิจัยสถาบัน  กองแผนงาน ณ 11  มิถุนายน 2560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</si>
</sst>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* #,##0_ ;_ * \-#,##0_ ;_ * &quot;-&quot;_ ;_ @_ "/>
    <numFmt numFmtId="205" formatCode="_ &quot;CHF&quot;\ * #,##0.00_ ;_ &quot;CHF&quot;\ * \-#,##0.00_ ;_ &quot;CHF&quot;\ * &quot;-&quot;??_ ;_ @_ "/>
    <numFmt numFmtId="206" formatCode="_ * #,##0.00_ ;_ * \-#,##0.00_ ;_ * &quot;-&quot;??_ ;_ @_ "/>
    <numFmt numFmtId="207" formatCode="t&quot;CHF&quot;#,##0_);\(t&quot;CHF&quot;#,##0\)"/>
    <numFmt numFmtId="208" formatCode="t&quot;CHF&quot;#,##0_);[Red]\(t&quot;CHF&quot;#,##0\)"/>
    <numFmt numFmtId="209" formatCode="t&quot;CHF&quot;#,##0.00_);\(t&quot;CHF&quot;#,##0.00\)"/>
    <numFmt numFmtId="210" formatCode="t&quot;CHF&quot;#,##0.00_);[Red]\(t&quot;CHF&quot;#,##0.00\)"/>
    <numFmt numFmtId="211" formatCode="\t&quot;฿&quot;#,##0_);\(\t&quot;฿&quot;#,##0\)"/>
    <numFmt numFmtId="212" formatCode="\t&quot;฿&quot;#,##0_);[Red]\(\t&quot;฿&quot;#,##0\)"/>
    <numFmt numFmtId="213" formatCode="\t&quot;฿&quot;#,##0.00_);\(\t&quot;฿&quot;#,##0.00\)"/>
    <numFmt numFmtId="214" formatCode="\t&quot;฿&quot;#,##0.00_);[Red]\(\t&quot;฿&quot;#,##0.00\)"/>
    <numFmt numFmtId="215" formatCode="_-* #,##0_-;\-* #,##0_-;_-* &quot;-&quot;??_-;_-@_-"/>
    <numFmt numFmtId="216" formatCode="_(* #,##0.0_);_(* \(#,##0.0\);_(* &quot;-&quot;_);_(@_)"/>
    <numFmt numFmtId="217" formatCode="_(* #,##0.00_);_(* \(#,##0.00\);_(* &quot;-&quot;_);_(@_)"/>
    <numFmt numFmtId="218" formatCode="0.0"/>
    <numFmt numFmtId="219" formatCode="_-* #,##0.0_-;\-* #,##0.0_-;_-* &quot;-&quot;??_-;_-@_-"/>
    <numFmt numFmtId="220" formatCode="0.000"/>
    <numFmt numFmtId="221" formatCode="0.0000"/>
    <numFmt numFmtId="222" formatCode="_(* #,##0.000_);_(* \(#,##0.000\);_(* &quot;-&quot;_);_(@_)"/>
    <numFmt numFmtId="223" formatCode="_(* #,##0.0000_);_(* \(#,##0.0000\);_(* &quot;-&quot;_);_(@_)"/>
    <numFmt numFmtId="224" formatCode="_(* #,##0.00000_);_(* \(#,##0.00000\);_(* &quot;-&quot;_);_(@_)"/>
    <numFmt numFmtId="225" formatCode="_(* #,##0.00000_);_(* \(#,##0.00000\);_(* &quot;-&quot;?????_);_(@_)"/>
    <numFmt numFmtId="226" formatCode="_-* #,##0.000_-;\-* #,##0.000_-;_-* &quot;-&quot;??_-;_-@_-"/>
    <numFmt numFmtId="227" formatCode="_-* #,##0.0000_-;\-* #,##0.0000_-;_-* &quot;-&quot;??_-;_-@_-"/>
    <numFmt numFmtId="228" formatCode="_-* #,##0.00000_-;\-* #,##0.00000_-;_-* &quot;-&quot;??_-;_-@_-"/>
  </numFmts>
  <fonts count="57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8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i/>
      <sz val="12"/>
      <name val="TH Niramit AS"/>
      <family val="0"/>
    </font>
    <font>
      <sz val="14"/>
      <color indexed="10"/>
      <name val="TH Niramit AS"/>
      <family val="0"/>
    </font>
    <font>
      <sz val="16"/>
      <color indexed="10"/>
      <name val="TH Niramit AS"/>
      <family val="0"/>
    </font>
    <font>
      <b/>
      <sz val="14"/>
      <color indexed="10"/>
      <name val="TH Niramit AS"/>
      <family val="0"/>
    </font>
    <font>
      <sz val="14"/>
      <color indexed="10"/>
      <name val="AngsanaUPC"/>
      <family val="1"/>
    </font>
    <font>
      <b/>
      <sz val="15"/>
      <name val="TH Niramit AS"/>
      <family val="0"/>
    </font>
    <font>
      <sz val="12"/>
      <name val="TH Niramit AS"/>
      <family val="0"/>
    </font>
    <font>
      <sz val="13"/>
      <name val="TH Niramit AS"/>
      <family val="0"/>
    </font>
    <font>
      <u val="single"/>
      <sz val="12.6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TH Niramit AS"/>
      <family val="0"/>
    </font>
    <font>
      <b/>
      <sz val="14"/>
      <color rgb="FFFF0000"/>
      <name val="TH Niramit AS"/>
      <family val="0"/>
    </font>
    <font>
      <b/>
      <sz val="16"/>
      <color rgb="FFFF0000"/>
      <name val="TH Niramit A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2" fillId="0" borderId="0" xfId="49" applyFont="1" applyFill="1">
      <alignment/>
      <protection/>
    </xf>
    <xf numFmtId="0" fontId="1" fillId="0" borderId="0" xfId="49" applyFont="1" applyFill="1">
      <alignment/>
      <protection/>
    </xf>
    <xf numFmtId="0" fontId="5" fillId="0" borderId="0" xfId="49" applyFont="1" applyFill="1" applyAlignment="1">
      <alignment horizontal="centerContinuous"/>
      <protection/>
    </xf>
    <xf numFmtId="49" fontId="5" fillId="0" borderId="0" xfId="49" applyNumberFormat="1" applyFont="1" applyFill="1" applyAlignment="1">
      <alignment horizontal="center"/>
      <protection/>
    </xf>
    <xf numFmtId="0" fontId="6" fillId="0" borderId="0" xfId="49" applyFont="1" applyFill="1" applyAlignment="1">
      <alignment horizontal="centerContinuous"/>
      <protection/>
    </xf>
    <xf numFmtId="0" fontId="7" fillId="0" borderId="10" xfId="49" applyFont="1" applyFill="1" applyBorder="1" applyAlignment="1">
      <alignment horizontal="centerContinuous"/>
      <protection/>
    </xf>
    <xf numFmtId="0" fontId="7" fillId="0" borderId="11" xfId="49" applyFont="1" applyFill="1" applyBorder="1" applyAlignment="1">
      <alignment horizontal="centerContinuous"/>
      <protection/>
    </xf>
    <xf numFmtId="49" fontId="7" fillId="0" borderId="12" xfId="49" applyNumberFormat="1" applyFont="1" applyFill="1" applyBorder="1" applyAlignment="1">
      <alignment horizontal="center"/>
      <protection/>
    </xf>
    <xf numFmtId="0" fontId="7" fillId="0" borderId="13" xfId="49" applyFont="1" applyFill="1" applyBorder="1" applyAlignment="1">
      <alignment horizontal="centerContinuous"/>
      <protection/>
    </xf>
    <xf numFmtId="0" fontId="7" fillId="0" borderId="14" xfId="49" applyFont="1" applyFill="1" applyBorder="1" applyAlignment="1">
      <alignment horizontal="centerContinuous"/>
      <protection/>
    </xf>
    <xf numFmtId="49" fontId="7" fillId="0" borderId="15" xfId="49" applyNumberFormat="1" applyFont="1" applyFill="1" applyBorder="1" applyAlignment="1">
      <alignment horizontal="center"/>
      <protection/>
    </xf>
    <xf numFmtId="0" fontId="7" fillId="0" borderId="16" xfId="49" applyFont="1" applyFill="1" applyBorder="1" applyAlignment="1">
      <alignment horizontal="centerContinuous"/>
      <protection/>
    </xf>
    <xf numFmtId="0" fontId="7" fillId="0" borderId="17" xfId="49" applyFont="1" applyFill="1" applyBorder="1" applyAlignment="1">
      <alignment horizontal="centerContinuous"/>
      <protection/>
    </xf>
    <xf numFmtId="0" fontId="7" fillId="0" borderId="18" xfId="49" applyFont="1" applyFill="1" applyBorder="1" applyAlignment="1">
      <alignment horizontal="centerContinuous"/>
      <protection/>
    </xf>
    <xf numFmtId="0" fontId="8" fillId="0" borderId="19" xfId="49" applyFont="1" applyFill="1" applyBorder="1" applyAlignment="1">
      <alignment horizontal="centerContinuous"/>
      <protection/>
    </xf>
    <xf numFmtId="0" fontId="7" fillId="0" borderId="20" xfId="49" applyFont="1" applyFill="1" applyBorder="1" applyAlignment="1">
      <alignment horizontal="center"/>
      <protection/>
    </xf>
    <xf numFmtId="0" fontId="7" fillId="0" borderId="18" xfId="49" applyFont="1" applyFill="1" applyBorder="1" applyAlignment="1">
      <alignment horizontal="center"/>
      <protection/>
    </xf>
    <xf numFmtId="0" fontId="7" fillId="0" borderId="21" xfId="49" applyFont="1" applyFill="1" applyBorder="1" applyAlignment="1">
      <alignment horizontal="center"/>
      <protection/>
    </xf>
    <xf numFmtId="0" fontId="8" fillId="0" borderId="18" xfId="49" applyFont="1" applyFill="1" applyBorder="1" applyAlignment="1">
      <alignment horizontal="centerContinuous"/>
      <protection/>
    </xf>
    <xf numFmtId="0" fontId="7" fillId="0" borderId="22" xfId="49" applyFont="1" applyFill="1" applyBorder="1" applyAlignment="1">
      <alignment horizontal="center"/>
      <protection/>
    </xf>
    <xf numFmtId="0" fontId="7" fillId="0" borderId="23" xfId="49" applyFont="1" applyFill="1" applyBorder="1" applyAlignment="1">
      <alignment horizontal="centerContinuous"/>
      <protection/>
    </xf>
    <xf numFmtId="0" fontId="7" fillId="0" borderId="21" xfId="49" applyFont="1" applyFill="1" applyBorder="1" applyAlignment="1">
      <alignment horizontal="centerContinuous"/>
      <protection/>
    </xf>
    <xf numFmtId="0" fontId="8" fillId="0" borderId="24" xfId="49" applyFont="1" applyFill="1" applyBorder="1" applyAlignment="1">
      <alignment horizontal="left"/>
      <protection/>
    </xf>
    <xf numFmtId="49" fontId="7" fillId="0" borderId="25" xfId="49" applyNumberFormat="1" applyFont="1" applyFill="1" applyBorder="1" applyAlignment="1">
      <alignment horizontal="center"/>
      <protection/>
    </xf>
    <xf numFmtId="0" fontId="7" fillId="0" borderId="26" xfId="49" applyFont="1" applyFill="1" applyBorder="1">
      <alignment/>
      <protection/>
    </xf>
    <xf numFmtId="0" fontId="7" fillId="0" borderId="27" xfId="49" applyFont="1" applyFill="1" applyBorder="1">
      <alignment/>
      <protection/>
    </xf>
    <xf numFmtId="215" fontId="7" fillId="0" borderId="28" xfId="34" applyNumberFormat="1" applyFont="1" applyFill="1" applyBorder="1" applyAlignment="1">
      <alignment/>
    </xf>
    <xf numFmtId="192" fontId="7" fillId="0" borderId="29" xfId="34" applyNumberFormat="1" applyFont="1" applyFill="1" applyBorder="1" applyAlignment="1">
      <alignment/>
    </xf>
    <xf numFmtId="215" fontId="7" fillId="0" borderId="29" xfId="34" applyNumberFormat="1" applyFont="1" applyFill="1" applyBorder="1" applyAlignment="1">
      <alignment/>
    </xf>
    <xf numFmtId="215" fontId="7" fillId="0" borderId="30" xfId="34" applyNumberFormat="1" applyFont="1" applyFill="1" applyBorder="1" applyAlignment="1">
      <alignment/>
    </xf>
    <xf numFmtId="4" fontId="7" fillId="0" borderId="31" xfId="34" applyNumberFormat="1" applyFont="1" applyFill="1" applyBorder="1" applyAlignment="1">
      <alignment horizontal="right"/>
    </xf>
    <xf numFmtId="4" fontId="7" fillId="0" borderId="32" xfId="34" applyNumberFormat="1" applyFont="1" applyFill="1" applyBorder="1" applyAlignment="1">
      <alignment horizontal="center"/>
    </xf>
    <xf numFmtId="4" fontId="7" fillId="0" borderId="32" xfId="34" applyNumberFormat="1" applyFont="1" applyFill="1" applyBorder="1" applyAlignment="1">
      <alignment horizontal="right"/>
    </xf>
    <xf numFmtId="4" fontId="7" fillId="0" borderId="30" xfId="34" applyNumberFormat="1" applyFont="1" applyFill="1" applyBorder="1" applyAlignment="1">
      <alignment horizontal="center"/>
    </xf>
    <xf numFmtId="0" fontId="7" fillId="0" borderId="33" xfId="49" applyFont="1" applyFill="1" applyBorder="1" applyAlignment="1">
      <alignment horizontal="center"/>
      <protection/>
    </xf>
    <xf numFmtId="2" fontId="7" fillId="0" borderId="34" xfId="34" applyNumberFormat="1" applyFont="1" applyFill="1" applyBorder="1" applyAlignment="1">
      <alignment horizontal="center"/>
    </xf>
    <xf numFmtId="2" fontId="7" fillId="0" borderId="35" xfId="34" applyNumberFormat="1" applyFont="1" applyFill="1" applyBorder="1" applyAlignment="1">
      <alignment horizontal="center"/>
    </xf>
    <xf numFmtId="2" fontId="7" fillId="0" borderId="36" xfId="34" applyNumberFormat="1" applyFont="1" applyFill="1" applyBorder="1" applyAlignment="1">
      <alignment horizontal="center"/>
    </xf>
    <xf numFmtId="49" fontId="7" fillId="0" borderId="37" xfId="49" applyNumberFormat="1" applyFont="1" applyFill="1" applyBorder="1" applyAlignment="1">
      <alignment horizontal="center"/>
      <protection/>
    </xf>
    <xf numFmtId="0" fontId="7" fillId="0" borderId="38" xfId="49" applyFont="1" applyFill="1" applyBorder="1">
      <alignment/>
      <protection/>
    </xf>
    <xf numFmtId="0" fontId="7" fillId="0" borderId="39" xfId="49" applyFont="1" applyFill="1" applyBorder="1">
      <alignment/>
      <protection/>
    </xf>
    <xf numFmtId="215" fontId="7" fillId="0" borderId="40" xfId="34" applyNumberFormat="1" applyFont="1" applyFill="1" applyBorder="1" applyAlignment="1">
      <alignment/>
    </xf>
    <xf numFmtId="192" fontId="7" fillId="0" borderId="41" xfId="34" applyNumberFormat="1" applyFont="1" applyFill="1" applyBorder="1" applyAlignment="1">
      <alignment/>
    </xf>
    <xf numFmtId="215" fontId="7" fillId="0" borderId="41" xfId="34" applyNumberFormat="1" applyFont="1" applyFill="1" applyBorder="1" applyAlignment="1">
      <alignment/>
    </xf>
    <xf numFmtId="215" fontId="7" fillId="0" borderId="42" xfId="34" applyNumberFormat="1" applyFont="1" applyFill="1" applyBorder="1" applyAlignment="1">
      <alignment/>
    </xf>
    <xf numFmtId="4" fontId="7" fillId="0" borderId="43" xfId="34" applyNumberFormat="1" applyFont="1" applyFill="1" applyBorder="1" applyAlignment="1">
      <alignment horizontal="right"/>
    </xf>
    <xf numFmtId="4" fontId="7" fillId="0" borderId="44" xfId="34" applyNumberFormat="1" applyFont="1" applyFill="1" applyBorder="1" applyAlignment="1">
      <alignment horizontal="center"/>
    </xf>
    <xf numFmtId="4" fontId="7" fillId="0" borderId="45" xfId="34" applyNumberFormat="1" applyFont="1" applyFill="1" applyBorder="1" applyAlignment="1">
      <alignment horizontal="right"/>
    </xf>
    <xf numFmtId="4" fontId="7" fillId="0" borderId="44" xfId="34" applyNumberFormat="1" applyFont="1" applyFill="1" applyBorder="1" applyAlignment="1">
      <alignment horizontal="right"/>
    </xf>
    <xf numFmtId="4" fontId="7" fillId="0" borderId="46" xfId="34" applyNumberFormat="1" applyFont="1" applyFill="1" applyBorder="1" applyAlignment="1">
      <alignment horizontal="center"/>
    </xf>
    <xf numFmtId="49" fontId="7" fillId="0" borderId="23" xfId="49" applyNumberFormat="1" applyFont="1" applyFill="1" applyBorder="1" applyAlignment="1">
      <alignment horizontal="center"/>
      <protection/>
    </xf>
    <xf numFmtId="49" fontId="7" fillId="0" borderId="45" xfId="39" applyNumberFormat="1" applyFont="1" applyFill="1" applyBorder="1" applyAlignment="1">
      <alignment horizontal="center"/>
    </xf>
    <xf numFmtId="2" fontId="7" fillId="0" borderId="44" xfId="39" applyNumberFormat="1" applyFont="1" applyFill="1" applyBorder="1" applyAlignment="1">
      <alignment horizontal="center"/>
    </xf>
    <xf numFmtId="2" fontId="7" fillId="0" borderId="47" xfId="39" applyNumberFormat="1" applyFont="1" applyFill="1" applyBorder="1" applyAlignment="1">
      <alignment horizontal="center"/>
    </xf>
    <xf numFmtId="49" fontId="7" fillId="0" borderId="15" xfId="39" applyNumberFormat="1" applyFont="1" applyFill="1" applyBorder="1" applyAlignment="1">
      <alignment horizontal="center"/>
    </xf>
    <xf numFmtId="4" fontId="7" fillId="0" borderId="48" xfId="34" applyNumberFormat="1" applyFont="1" applyFill="1" applyBorder="1" applyAlignment="1">
      <alignment horizontal="right"/>
    </xf>
    <xf numFmtId="4" fontId="7" fillId="0" borderId="29" xfId="34" applyNumberFormat="1" applyFont="1" applyFill="1" applyBorder="1" applyAlignment="1">
      <alignment horizontal="right"/>
    </xf>
    <xf numFmtId="2" fontId="7" fillId="0" borderId="49" xfId="39" applyNumberFormat="1" applyFont="1" applyFill="1" applyBorder="1" applyAlignment="1">
      <alignment horizontal="center"/>
    </xf>
    <xf numFmtId="0" fontId="7" fillId="0" borderId="16" xfId="49" applyFont="1" applyFill="1" applyBorder="1">
      <alignment/>
      <protection/>
    </xf>
    <xf numFmtId="215" fontId="7" fillId="0" borderId="25" xfId="34" applyNumberFormat="1" applyFont="1" applyFill="1" applyBorder="1" applyAlignment="1">
      <alignment/>
    </xf>
    <xf numFmtId="192" fontId="7" fillId="0" borderId="45" xfId="34" applyNumberFormat="1" applyFont="1" applyFill="1" applyBorder="1" applyAlignment="1">
      <alignment/>
    </xf>
    <xf numFmtId="215" fontId="7" fillId="0" borderId="45" xfId="34" applyNumberFormat="1" applyFont="1" applyFill="1" applyBorder="1" applyAlignment="1">
      <alignment/>
    </xf>
    <xf numFmtId="215" fontId="7" fillId="0" borderId="46" xfId="34" applyNumberFormat="1" applyFont="1" applyFill="1" applyBorder="1" applyAlignment="1">
      <alignment/>
    </xf>
    <xf numFmtId="4" fontId="7" fillId="0" borderId="50" xfId="34" applyNumberFormat="1" applyFont="1" applyFill="1" applyBorder="1" applyAlignment="1">
      <alignment horizontal="right"/>
    </xf>
    <xf numFmtId="0" fontId="7" fillId="0" borderId="23" xfId="49" applyFont="1" applyFill="1" applyBorder="1" applyAlignment="1">
      <alignment horizontal="center"/>
      <protection/>
    </xf>
    <xf numFmtId="2" fontId="7" fillId="0" borderId="51" xfId="39" applyNumberFormat="1" applyFont="1" applyFill="1" applyBorder="1" applyAlignment="1">
      <alignment horizontal="center"/>
    </xf>
    <xf numFmtId="2" fontId="7" fillId="0" borderId="52" xfId="39" applyNumberFormat="1" applyFont="1" applyFill="1" applyBorder="1" applyAlignment="1">
      <alignment horizontal="center"/>
    </xf>
    <xf numFmtId="2" fontId="7" fillId="0" borderId="53" xfId="39" applyNumberFormat="1" applyFont="1" applyFill="1" applyBorder="1" applyAlignment="1">
      <alignment horizontal="center"/>
    </xf>
    <xf numFmtId="49" fontId="7" fillId="0" borderId="25" xfId="39" applyNumberFormat="1" applyFont="1" applyFill="1" applyBorder="1" applyAlignment="1">
      <alignment horizontal="center"/>
    </xf>
    <xf numFmtId="215" fontId="7" fillId="0" borderId="51" xfId="34" applyNumberFormat="1" applyFont="1" applyFill="1" applyBorder="1" applyAlignment="1">
      <alignment/>
    </xf>
    <xf numFmtId="192" fontId="7" fillId="0" borderId="51" xfId="34" applyNumberFormat="1" applyFont="1" applyFill="1" applyBorder="1" applyAlignment="1">
      <alignment/>
    </xf>
    <xf numFmtId="2" fontId="7" fillId="0" borderId="45" xfId="39" applyNumberFormat="1" applyFont="1" applyFill="1" applyBorder="1" applyAlignment="1">
      <alignment horizontal="center"/>
    </xf>
    <xf numFmtId="2" fontId="7" fillId="0" borderId="38" xfId="39" applyNumberFormat="1" applyFont="1" applyFill="1" applyBorder="1" applyAlignment="1">
      <alignment horizontal="center"/>
    </xf>
    <xf numFmtId="0" fontId="7" fillId="0" borderId="54" xfId="49" applyFont="1" applyFill="1" applyBorder="1">
      <alignment/>
      <protection/>
    </xf>
    <xf numFmtId="0" fontId="7" fillId="0" borderId="14" xfId="49" applyFont="1" applyFill="1" applyBorder="1" applyAlignment="1">
      <alignment horizontal="center"/>
      <protection/>
    </xf>
    <xf numFmtId="2" fontId="7" fillId="0" borderId="55" xfId="39" applyNumberFormat="1" applyFont="1" applyFill="1" applyBorder="1" applyAlignment="1">
      <alignment horizontal="center"/>
    </xf>
    <xf numFmtId="215" fontId="7" fillId="0" borderId="38" xfId="49" applyNumberFormat="1" applyFont="1" applyFill="1" applyBorder="1">
      <alignment/>
      <protection/>
    </xf>
    <xf numFmtId="215" fontId="7" fillId="0" borderId="15" xfId="34" applyNumberFormat="1" applyFont="1" applyFill="1" applyBorder="1" applyAlignment="1">
      <alignment/>
    </xf>
    <xf numFmtId="215" fontId="7" fillId="0" borderId="56" xfId="34" applyNumberFormat="1" applyFont="1" applyFill="1" applyBorder="1" applyAlignment="1">
      <alignment/>
    </xf>
    <xf numFmtId="4" fontId="7" fillId="0" borderId="56" xfId="34" applyNumberFormat="1" applyFont="1" applyFill="1" applyBorder="1" applyAlignment="1">
      <alignment horizontal="center"/>
    </xf>
    <xf numFmtId="2" fontId="7" fillId="0" borderId="0" xfId="39" applyNumberFormat="1" applyFont="1" applyFill="1" applyBorder="1" applyAlignment="1">
      <alignment horizontal="center"/>
    </xf>
    <xf numFmtId="49" fontId="7" fillId="0" borderId="37" xfId="39" applyNumberFormat="1" applyFont="1" applyFill="1" applyBorder="1" applyAlignment="1">
      <alignment horizontal="center"/>
    </xf>
    <xf numFmtId="0" fontId="7" fillId="0" borderId="13" xfId="49" applyFont="1" applyFill="1" applyBorder="1">
      <alignment/>
      <protection/>
    </xf>
    <xf numFmtId="4" fontId="7" fillId="0" borderId="57" xfId="34" applyNumberFormat="1" applyFont="1" applyFill="1" applyBorder="1" applyAlignment="1">
      <alignment horizontal="right"/>
    </xf>
    <xf numFmtId="4" fontId="7" fillId="0" borderId="52" xfId="34" applyNumberFormat="1" applyFont="1" applyFill="1" applyBorder="1" applyAlignment="1">
      <alignment horizontal="center"/>
    </xf>
    <xf numFmtId="4" fontId="7" fillId="0" borderId="52" xfId="34" applyNumberFormat="1" applyFont="1" applyFill="1" applyBorder="1" applyAlignment="1">
      <alignment horizontal="right"/>
    </xf>
    <xf numFmtId="2" fontId="7" fillId="0" borderId="58" xfId="39" applyNumberFormat="1" applyFont="1" applyFill="1" applyBorder="1" applyAlignment="1">
      <alignment horizontal="center"/>
    </xf>
    <xf numFmtId="2" fontId="7" fillId="0" borderId="59" xfId="39" applyNumberFormat="1" applyFont="1" applyFill="1" applyBorder="1" applyAlignment="1">
      <alignment horizontal="center"/>
    </xf>
    <xf numFmtId="3" fontId="7" fillId="0" borderId="28" xfId="34" applyNumberFormat="1" applyFont="1" applyFill="1" applyBorder="1" applyAlignment="1">
      <alignment/>
    </xf>
    <xf numFmtId="3" fontId="7" fillId="0" borderId="29" xfId="34" applyNumberFormat="1" applyFont="1" applyFill="1" applyBorder="1" applyAlignment="1">
      <alignment/>
    </xf>
    <xf numFmtId="3" fontId="7" fillId="0" borderId="15" xfId="34" applyNumberFormat="1" applyFont="1" applyFill="1" applyBorder="1" applyAlignment="1">
      <alignment/>
    </xf>
    <xf numFmtId="3" fontId="7" fillId="0" borderId="51" xfId="34" applyNumberFormat="1" applyFont="1" applyFill="1" applyBorder="1" applyAlignment="1">
      <alignment/>
    </xf>
    <xf numFmtId="0" fontId="7" fillId="0" borderId="54" xfId="49" applyFont="1" applyFill="1" applyBorder="1" applyAlignment="1">
      <alignment horizontal="center"/>
      <protection/>
    </xf>
    <xf numFmtId="0" fontId="7" fillId="0" borderId="60" xfId="49" applyFont="1" applyFill="1" applyBorder="1">
      <alignment/>
      <protection/>
    </xf>
    <xf numFmtId="3" fontId="7" fillId="0" borderId="61" xfId="34" applyNumberFormat="1" applyFont="1" applyFill="1" applyBorder="1" applyAlignment="1">
      <alignment/>
    </xf>
    <xf numFmtId="192" fontId="7" fillId="0" borderId="62" xfId="34" applyNumberFormat="1" applyFont="1" applyFill="1" applyBorder="1" applyAlignment="1">
      <alignment/>
    </xf>
    <xf numFmtId="3" fontId="7" fillId="0" borderId="62" xfId="34" applyNumberFormat="1" applyFont="1" applyFill="1" applyBorder="1" applyAlignment="1">
      <alignment/>
    </xf>
    <xf numFmtId="2" fontId="7" fillId="0" borderId="58" xfId="34" applyNumberFormat="1" applyFont="1" applyFill="1" applyBorder="1" applyAlignment="1">
      <alignment horizontal="center"/>
    </xf>
    <xf numFmtId="2" fontId="7" fillId="0" borderId="59" xfId="34" applyNumberFormat="1" applyFont="1" applyFill="1" applyBorder="1" applyAlignment="1">
      <alignment horizontal="center"/>
    </xf>
    <xf numFmtId="3" fontId="7" fillId="0" borderId="40" xfId="34" applyNumberFormat="1" applyFont="1" applyFill="1" applyBorder="1" applyAlignment="1">
      <alignment/>
    </xf>
    <xf numFmtId="3" fontId="7" fillId="0" borderId="41" xfId="34" applyNumberFormat="1" applyFont="1" applyFill="1" applyBorder="1" applyAlignment="1">
      <alignment/>
    </xf>
    <xf numFmtId="0" fontId="8" fillId="0" borderId="27" xfId="49" applyFont="1" applyFill="1" applyBorder="1">
      <alignment/>
      <protection/>
    </xf>
    <xf numFmtId="215" fontId="8" fillId="0" borderId="32" xfId="34" applyNumberFormat="1" applyFont="1" applyFill="1" applyBorder="1" applyAlignment="1">
      <alignment/>
    </xf>
    <xf numFmtId="4" fontId="8" fillId="0" borderId="48" xfId="34" applyNumberFormat="1" applyFont="1" applyFill="1" applyBorder="1" applyAlignment="1">
      <alignment horizontal="right"/>
    </xf>
    <xf numFmtId="4" fontId="8" fillId="0" borderId="32" xfId="34" applyNumberFormat="1" applyFont="1" applyFill="1" applyBorder="1" applyAlignment="1">
      <alignment horizontal="center"/>
    </xf>
    <xf numFmtId="4" fontId="8" fillId="0" borderId="32" xfId="34" applyNumberFormat="1" applyFont="1" applyFill="1" applyBorder="1" applyAlignment="1">
      <alignment horizontal="right"/>
    </xf>
    <xf numFmtId="4" fontId="8" fillId="0" borderId="30" xfId="34" applyNumberFormat="1" applyFont="1" applyFill="1" applyBorder="1" applyAlignment="1">
      <alignment horizontal="center"/>
    </xf>
    <xf numFmtId="215" fontId="8" fillId="0" borderId="33" xfId="34" applyNumberFormat="1" applyFont="1" applyFill="1" applyBorder="1" applyAlignment="1">
      <alignment horizontal="center"/>
    </xf>
    <xf numFmtId="2" fontId="8" fillId="0" borderId="34" xfId="34" applyNumberFormat="1" applyFont="1" applyFill="1" applyBorder="1" applyAlignment="1">
      <alignment horizontal="center"/>
    </xf>
    <xf numFmtId="2" fontId="8" fillId="0" borderId="49" xfId="39" applyNumberFormat="1" applyFont="1" applyFill="1" applyBorder="1" applyAlignment="1">
      <alignment horizontal="center"/>
    </xf>
    <xf numFmtId="2" fontId="8" fillId="0" borderId="36" xfId="34" applyNumberFormat="1" applyFont="1" applyFill="1" applyBorder="1" applyAlignment="1">
      <alignment horizontal="center"/>
    </xf>
    <xf numFmtId="49" fontId="8" fillId="0" borderId="37" xfId="39" applyNumberFormat="1" applyFont="1" applyFill="1" applyBorder="1" applyAlignment="1">
      <alignment horizontal="center"/>
    </xf>
    <xf numFmtId="0" fontId="8" fillId="0" borderId="63" xfId="49" applyFont="1" applyFill="1" applyBorder="1">
      <alignment/>
      <protection/>
    </xf>
    <xf numFmtId="215" fontId="8" fillId="0" borderId="64" xfId="34" applyNumberFormat="1" applyFont="1" applyFill="1" applyBorder="1" applyAlignment="1">
      <alignment/>
    </xf>
    <xf numFmtId="4" fontId="8" fillId="0" borderId="65" xfId="34" applyNumberFormat="1" applyFont="1" applyFill="1" applyBorder="1" applyAlignment="1">
      <alignment horizontal="right"/>
    </xf>
    <xf numFmtId="4" fontId="8" fillId="0" borderId="64" xfId="34" applyNumberFormat="1" applyFont="1" applyFill="1" applyBorder="1" applyAlignment="1">
      <alignment horizontal="center"/>
    </xf>
    <xf numFmtId="4" fontId="8" fillId="0" borderId="64" xfId="34" applyNumberFormat="1" applyFont="1" applyFill="1" applyBorder="1" applyAlignment="1">
      <alignment horizontal="right"/>
    </xf>
    <xf numFmtId="4" fontId="8" fillId="0" borderId="66" xfId="34" applyNumberFormat="1" applyFont="1" applyFill="1" applyBorder="1" applyAlignment="1">
      <alignment horizontal="center"/>
    </xf>
    <xf numFmtId="3" fontId="8" fillId="0" borderId="67" xfId="34" applyNumberFormat="1" applyFont="1" applyFill="1" applyBorder="1" applyAlignment="1">
      <alignment horizontal="center"/>
    </xf>
    <xf numFmtId="2" fontId="8" fillId="0" borderId="68" xfId="34" applyNumberFormat="1" applyFont="1" applyFill="1" applyBorder="1" applyAlignment="1">
      <alignment horizontal="center"/>
    </xf>
    <xf numFmtId="2" fontId="8" fillId="0" borderId="69" xfId="39" applyNumberFormat="1" applyFont="1" applyFill="1" applyBorder="1" applyAlignment="1">
      <alignment horizontal="center"/>
    </xf>
    <xf numFmtId="2" fontId="8" fillId="0" borderId="68" xfId="39" applyNumberFormat="1" applyFont="1" applyFill="1" applyBorder="1" applyAlignment="1">
      <alignment horizontal="center"/>
    </xf>
    <xf numFmtId="49" fontId="8" fillId="0" borderId="70" xfId="39" applyNumberFormat="1" applyFont="1" applyFill="1" applyBorder="1" applyAlignment="1">
      <alignment horizontal="center"/>
    </xf>
    <xf numFmtId="0" fontId="8" fillId="0" borderId="0" xfId="49" applyFont="1" applyFill="1" applyBorder="1" applyAlignment="1">
      <alignment horizontal="centerContinuous"/>
      <protection/>
    </xf>
    <xf numFmtId="0" fontId="8" fillId="0" borderId="0" xfId="49" applyFont="1" applyFill="1" applyBorder="1">
      <alignment/>
      <protection/>
    </xf>
    <xf numFmtId="215" fontId="8" fillId="0" borderId="0" xfId="34" applyNumberFormat="1" applyFont="1" applyFill="1" applyBorder="1" applyAlignment="1">
      <alignment/>
    </xf>
    <xf numFmtId="215" fontId="7" fillId="0" borderId="0" xfId="34" applyNumberFormat="1" applyFont="1" applyFill="1" applyBorder="1" applyAlignment="1">
      <alignment/>
    </xf>
    <xf numFmtId="4" fontId="7" fillId="0" borderId="0" xfId="34" applyNumberFormat="1" applyFont="1" applyFill="1" applyBorder="1" applyAlignment="1">
      <alignment horizontal="right"/>
    </xf>
    <xf numFmtId="4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 horizontal="center"/>
    </xf>
    <xf numFmtId="2" fontId="8" fillId="0" borderId="0" xfId="34" applyNumberFormat="1" applyFont="1" applyFill="1" applyBorder="1" applyAlignment="1">
      <alignment horizontal="center"/>
    </xf>
    <xf numFmtId="2" fontId="8" fillId="0" borderId="0" xfId="39" applyNumberFormat="1" applyFont="1" applyFill="1" applyBorder="1" applyAlignment="1">
      <alignment horizontal="center"/>
    </xf>
    <xf numFmtId="0" fontId="5" fillId="0" borderId="0" xfId="49" applyFont="1" applyFill="1">
      <alignment/>
      <protection/>
    </xf>
    <xf numFmtId="49" fontId="8" fillId="0" borderId="0" xfId="39" applyNumberFormat="1" applyFont="1" applyFill="1" applyBorder="1" applyAlignment="1">
      <alignment horizontal="center"/>
    </xf>
    <xf numFmtId="0" fontId="7" fillId="0" borderId="0" xfId="49" applyFont="1" applyFill="1">
      <alignment/>
      <protection/>
    </xf>
    <xf numFmtId="0" fontId="6" fillId="0" borderId="0" xfId="49" applyFont="1" applyFill="1" applyBorder="1" applyAlignment="1">
      <alignment horizontal="centerContinuous"/>
      <protection/>
    </xf>
    <xf numFmtId="4" fontId="8" fillId="0" borderId="0" xfId="49" applyNumberFormat="1" applyFont="1" applyFill="1" applyBorder="1">
      <alignment/>
      <protection/>
    </xf>
    <xf numFmtId="4" fontId="6" fillId="0" borderId="0" xfId="49" applyNumberFormat="1" applyFont="1" applyFill="1" applyBorder="1">
      <alignment/>
      <protection/>
    </xf>
    <xf numFmtId="194" fontId="6" fillId="0" borderId="0" xfId="49" applyNumberFormat="1" applyFont="1" applyFill="1" applyBorder="1">
      <alignment/>
      <protection/>
    </xf>
    <xf numFmtId="0" fontId="6" fillId="0" borderId="0" xfId="49" applyFont="1" applyFill="1" applyBorder="1">
      <alignment/>
      <protection/>
    </xf>
    <xf numFmtId="47" fontId="6" fillId="0" borderId="0" xfId="34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49" applyNumberFormat="1" applyFont="1" applyFill="1">
      <alignment/>
      <protection/>
    </xf>
    <xf numFmtId="215" fontId="7" fillId="0" borderId="71" xfId="34" applyNumberFormat="1" applyFont="1" applyFill="1" applyBorder="1" applyAlignment="1">
      <alignment/>
    </xf>
    <xf numFmtId="0" fontId="7" fillId="0" borderId="72" xfId="49" applyFont="1" applyFill="1" applyBorder="1">
      <alignment/>
      <protection/>
    </xf>
    <xf numFmtId="192" fontId="7" fillId="0" borderId="73" xfId="34" applyNumberFormat="1" applyFont="1" applyFill="1" applyBorder="1" applyAlignment="1">
      <alignment/>
    </xf>
    <xf numFmtId="215" fontId="7" fillId="0" borderId="66" xfId="34" applyNumberFormat="1" applyFont="1" applyFill="1" applyBorder="1" applyAlignment="1">
      <alignment/>
    </xf>
    <xf numFmtId="0" fontId="7" fillId="0" borderId="67" xfId="49" applyFont="1" applyFill="1" applyBorder="1" applyAlignment="1">
      <alignment horizontal="center"/>
      <protection/>
    </xf>
    <xf numFmtId="2" fontId="7" fillId="0" borderId="74" xfId="39" applyNumberFormat="1" applyFont="1" applyFill="1" applyBorder="1" applyAlignment="1">
      <alignment horizontal="center"/>
    </xf>
    <xf numFmtId="2" fontId="7" fillId="0" borderId="69" xfId="39" applyNumberFormat="1" applyFont="1" applyFill="1" applyBorder="1" applyAlignment="1">
      <alignment horizontal="center"/>
    </xf>
    <xf numFmtId="2" fontId="7" fillId="0" borderId="75" xfId="39" applyNumberFormat="1" applyFont="1" applyFill="1" applyBorder="1" applyAlignment="1">
      <alignment horizontal="center"/>
    </xf>
    <xf numFmtId="49" fontId="7" fillId="0" borderId="70" xfId="39" applyNumberFormat="1" applyFont="1" applyFill="1" applyBorder="1" applyAlignment="1">
      <alignment horizontal="center"/>
    </xf>
    <xf numFmtId="194" fontId="7" fillId="0" borderId="76" xfId="34" applyNumberFormat="1" applyFont="1" applyFill="1" applyBorder="1" applyAlignment="1">
      <alignment horizontal="right"/>
    </xf>
    <xf numFmtId="194" fontId="7" fillId="0" borderId="77" xfId="34" applyNumberFormat="1" applyFont="1" applyFill="1" applyBorder="1" applyAlignment="1">
      <alignment horizontal="center"/>
    </xf>
    <xf numFmtId="194" fontId="7" fillId="0" borderId="77" xfId="34" applyNumberFormat="1" applyFont="1" applyFill="1" applyBorder="1" applyAlignment="1">
      <alignment horizontal="right"/>
    </xf>
    <xf numFmtId="194" fontId="7" fillId="0" borderId="71" xfId="34" applyNumberFormat="1" applyFont="1" applyFill="1" applyBorder="1" applyAlignment="1">
      <alignment horizontal="center"/>
    </xf>
    <xf numFmtId="194" fontId="7" fillId="0" borderId="78" xfId="34" applyNumberFormat="1" applyFont="1" applyFill="1" applyBorder="1" applyAlignment="1">
      <alignment horizontal="right"/>
    </xf>
    <xf numFmtId="194" fontId="7" fillId="0" borderId="79" xfId="34" applyNumberFormat="1" applyFont="1" applyFill="1" applyBorder="1" applyAlignment="1">
      <alignment horizontal="center"/>
    </xf>
    <xf numFmtId="194" fontId="7" fillId="0" borderId="79" xfId="34" applyNumberFormat="1" applyFont="1" applyFill="1" applyBorder="1" applyAlignment="1">
      <alignment horizontal="right"/>
    </xf>
    <xf numFmtId="194" fontId="7" fillId="0" borderId="42" xfId="34" applyNumberFormat="1" applyFont="1" applyFill="1" applyBorder="1" applyAlignment="1">
      <alignment horizontal="center"/>
    </xf>
    <xf numFmtId="194" fontId="7" fillId="0" borderId="35" xfId="34" applyNumberFormat="1" applyFont="1" applyFill="1" applyBorder="1" applyAlignment="1">
      <alignment horizontal="center"/>
    </xf>
    <xf numFmtId="194" fontId="7" fillId="0" borderId="44" xfId="39" applyNumberFormat="1" applyFont="1" applyFill="1" applyBorder="1" applyAlignment="1">
      <alignment horizontal="center"/>
    </xf>
    <xf numFmtId="194" fontId="7" fillId="0" borderId="52" xfId="39" applyNumberFormat="1" applyFont="1" applyFill="1" applyBorder="1" applyAlignment="1">
      <alignment horizontal="center"/>
    </xf>
    <xf numFmtId="194" fontId="7" fillId="0" borderId="45" xfId="39" applyNumberFormat="1" applyFont="1" applyFill="1" applyBorder="1" applyAlignment="1">
      <alignment horizontal="center"/>
    </xf>
    <xf numFmtId="194" fontId="7" fillId="0" borderId="51" xfId="39" applyNumberFormat="1" applyFont="1" applyFill="1" applyBorder="1" applyAlignment="1">
      <alignment horizontal="center"/>
    </xf>
    <xf numFmtId="194" fontId="7" fillId="0" borderId="51" xfId="34" applyNumberFormat="1" applyFont="1" applyFill="1" applyBorder="1" applyAlignment="1">
      <alignment horizontal="center"/>
    </xf>
    <xf numFmtId="194" fontId="7" fillId="0" borderId="69" xfId="39" applyNumberFormat="1" applyFont="1" applyFill="1" applyBorder="1" applyAlignment="1">
      <alignment horizontal="center"/>
    </xf>
    <xf numFmtId="194" fontId="8" fillId="0" borderId="35" xfId="34" applyNumberFormat="1" applyFont="1" applyFill="1" applyBorder="1" applyAlignment="1">
      <alignment horizontal="center"/>
    </xf>
    <xf numFmtId="4" fontId="7" fillId="0" borderId="0" xfId="34" applyNumberFormat="1" applyFont="1" applyFill="1" applyBorder="1" applyAlignment="1">
      <alignment horizontal="center"/>
    </xf>
    <xf numFmtId="0" fontId="7" fillId="0" borderId="80" xfId="49" applyFont="1" applyFill="1" applyBorder="1">
      <alignment/>
      <protection/>
    </xf>
    <xf numFmtId="3" fontId="7" fillId="0" borderId="70" xfId="34" applyNumberFormat="1" applyFont="1" applyFill="1" applyBorder="1" applyAlignment="1">
      <alignment/>
    </xf>
    <xf numFmtId="192" fontId="7" fillId="0" borderId="81" xfId="34" applyNumberFormat="1" applyFont="1" applyFill="1" applyBorder="1" applyAlignment="1">
      <alignment/>
    </xf>
    <xf numFmtId="3" fontId="7" fillId="0" borderId="81" xfId="34" applyNumberFormat="1" applyFont="1" applyFill="1" applyBorder="1" applyAlignment="1">
      <alignment/>
    </xf>
    <xf numFmtId="215" fontId="7" fillId="0" borderId="82" xfId="34" applyNumberFormat="1" applyFont="1" applyFill="1" applyBorder="1" applyAlignment="1">
      <alignment/>
    </xf>
    <xf numFmtId="4" fontId="7" fillId="0" borderId="83" xfId="34" applyNumberFormat="1" applyFont="1" applyFill="1" applyBorder="1" applyAlignment="1">
      <alignment horizontal="right"/>
    </xf>
    <xf numFmtId="4" fontId="7" fillId="0" borderId="69" xfId="34" applyNumberFormat="1" applyFont="1" applyFill="1" applyBorder="1" applyAlignment="1">
      <alignment horizontal="center"/>
    </xf>
    <xf numFmtId="4" fontId="7" fillId="0" borderId="69" xfId="34" applyNumberFormat="1" applyFont="1" applyFill="1" applyBorder="1" applyAlignment="1">
      <alignment horizontal="right"/>
    </xf>
    <xf numFmtId="4" fontId="7" fillId="0" borderId="82" xfId="34" applyNumberFormat="1" applyFont="1" applyFill="1" applyBorder="1" applyAlignment="1">
      <alignment horizontal="center"/>
    </xf>
    <xf numFmtId="0" fontId="7" fillId="0" borderId="84" xfId="49" applyFont="1" applyFill="1" applyBorder="1" applyAlignment="1">
      <alignment horizontal="center"/>
      <protection/>
    </xf>
    <xf numFmtId="0" fontId="7" fillId="0" borderId="85" xfId="49" applyFont="1" applyFill="1" applyBorder="1" applyAlignment="1">
      <alignment horizontal="center"/>
      <protection/>
    </xf>
    <xf numFmtId="0" fontId="7" fillId="0" borderId="12" xfId="49" applyFont="1" applyFill="1" applyBorder="1" applyAlignment="1">
      <alignment horizontal="centerContinuous"/>
      <protection/>
    </xf>
    <xf numFmtId="0" fontId="7" fillId="0" borderId="86" xfId="49" applyFont="1" applyFill="1" applyBorder="1" applyAlignment="1">
      <alignment horizontal="centerContinuous"/>
      <protection/>
    </xf>
    <xf numFmtId="0" fontId="8" fillId="0" borderId="87" xfId="49" applyFont="1" applyFill="1" applyBorder="1" applyAlignment="1">
      <alignment horizontal="centerContinuous"/>
      <protection/>
    </xf>
    <xf numFmtId="0" fontId="7" fillId="0" borderId="86" xfId="49" applyFont="1" applyFill="1" applyBorder="1" applyAlignment="1">
      <alignment horizontal="center"/>
      <protection/>
    </xf>
    <xf numFmtId="0" fontId="7" fillId="0" borderId="88" xfId="49" applyFont="1" applyFill="1" applyBorder="1" applyAlignment="1">
      <alignment horizontal="center"/>
      <protection/>
    </xf>
    <xf numFmtId="0" fontId="8" fillId="0" borderId="86" xfId="49" applyFont="1" applyFill="1" applyBorder="1" applyAlignment="1">
      <alignment horizontal="centerContinuous"/>
      <protection/>
    </xf>
    <xf numFmtId="0" fontId="7" fillId="0" borderId="88" xfId="49" applyFont="1" applyFill="1" applyBorder="1" applyAlignment="1">
      <alignment horizontal="centerContinuous"/>
      <protection/>
    </xf>
    <xf numFmtId="0" fontId="8" fillId="0" borderId="89" xfId="49" applyFont="1" applyFill="1" applyBorder="1" applyAlignment="1">
      <alignment horizontal="left"/>
      <protection/>
    </xf>
    <xf numFmtId="0" fontId="7" fillId="0" borderId="90" xfId="49" applyFont="1" applyFill="1" applyBorder="1">
      <alignment/>
      <protection/>
    </xf>
    <xf numFmtId="0" fontId="7" fillId="0" borderId="91" xfId="49" applyFont="1" applyFill="1" applyBorder="1">
      <alignment/>
      <protection/>
    </xf>
    <xf numFmtId="192" fontId="7" fillId="0" borderId="92" xfId="34" applyNumberFormat="1" applyFont="1" applyFill="1" applyBorder="1" applyAlignment="1">
      <alignment/>
    </xf>
    <xf numFmtId="215" fontId="7" fillId="0" borderId="92" xfId="34" applyNumberFormat="1" applyFont="1" applyFill="1" applyBorder="1" applyAlignment="1">
      <alignment/>
    </xf>
    <xf numFmtId="215" fontId="7" fillId="0" borderId="93" xfId="34" applyNumberFormat="1" applyFont="1" applyFill="1" applyBorder="1" applyAlignment="1">
      <alignment/>
    </xf>
    <xf numFmtId="4" fontId="7" fillId="0" borderId="94" xfId="34" applyNumberFormat="1" applyFont="1" applyFill="1" applyBorder="1" applyAlignment="1">
      <alignment horizontal="right"/>
    </xf>
    <xf numFmtId="4" fontId="7" fillId="0" borderId="95" xfId="34" applyNumberFormat="1" applyFont="1" applyFill="1" applyBorder="1" applyAlignment="1">
      <alignment horizontal="center"/>
    </xf>
    <xf numFmtId="192" fontId="7" fillId="0" borderId="92" xfId="34" applyNumberFormat="1" applyFont="1" applyFill="1" applyBorder="1" applyAlignment="1">
      <alignment horizontal="center"/>
    </xf>
    <xf numFmtId="4" fontId="7" fillId="0" borderId="92" xfId="34" applyNumberFormat="1" applyFont="1" applyFill="1" applyBorder="1" applyAlignment="1">
      <alignment horizontal="right"/>
    </xf>
    <xf numFmtId="4" fontId="7" fillId="0" borderId="95" xfId="34" applyNumberFormat="1" applyFont="1" applyFill="1" applyBorder="1" applyAlignment="1">
      <alignment horizontal="right"/>
    </xf>
    <xf numFmtId="4" fontId="7" fillId="0" borderId="93" xfId="34" applyNumberFormat="1" applyFont="1" applyFill="1" applyBorder="1" applyAlignment="1">
      <alignment horizontal="center"/>
    </xf>
    <xf numFmtId="0" fontId="7" fillId="0" borderId="96" xfId="49" applyFont="1" applyFill="1" applyBorder="1" applyAlignment="1">
      <alignment horizontal="center"/>
      <protection/>
    </xf>
    <xf numFmtId="2" fontId="7" fillId="0" borderId="92" xfId="39" applyNumberFormat="1" applyFont="1" applyFill="1" applyBorder="1" applyAlignment="1">
      <alignment horizontal="center"/>
    </xf>
    <xf numFmtId="194" fontId="7" fillId="0" borderId="95" xfId="39" applyNumberFormat="1" applyFont="1" applyFill="1" applyBorder="1" applyAlignment="1">
      <alignment horizontal="center"/>
    </xf>
    <xf numFmtId="2" fontId="7" fillId="0" borderId="95" xfId="39" applyNumberFormat="1" applyFont="1" applyFill="1" applyBorder="1" applyAlignment="1">
      <alignment horizontal="center"/>
    </xf>
    <xf numFmtId="2" fontId="7" fillId="0" borderId="97" xfId="39" applyNumberFormat="1" applyFont="1" applyFill="1" applyBorder="1" applyAlignment="1">
      <alignment horizontal="center"/>
    </xf>
    <xf numFmtId="194" fontId="7" fillId="0" borderId="92" xfId="39" applyNumberFormat="1" applyFont="1" applyFill="1" applyBorder="1" applyAlignment="1">
      <alignment horizontal="center"/>
    </xf>
    <xf numFmtId="2" fontId="7" fillId="0" borderId="98" xfId="39" applyNumberFormat="1" applyFont="1" applyFill="1" applyBorder="1" applyAlignment="1">
      <alignment horizontal="center"/>
    </xf>
    <xf numFmtId="49" fontId="7" fillId="0" borderId="96" xfId="49" applyNumberFormat="1" applyFont="1" applyFill="1" applyBorder="1" applyAlignment="1">
      <alignment horizontal="center"/>
      <protection/>
    </xf>
    <xf numFmtId="49" fontId="7" fillId="0" borderId="92" xfId="39" applyNumberFormat="1" applyFont="1" applyFill="1" applyBorder="1" applyAlignment="1">
      <alignment horizontal="center"/>
    </xf>
    <xf numFmtId="2" fontId="7" fillId="0" borderId="99" xfId="39" applyNumberFormat="1" applyFont="1" applyFill="1" applyBorder="1" applyAlignment="1">
      <alignment horizontal="center"/>
    </xf>
    <xf numFmtId="0" fontId="7" fillId="0" borderId="100" xfId="49" applyFont="1" applyFill="1" applyBorder="1">
      <alignment/>
      <protection/>
    </xf>
    <xf numFmtId="0" fontId="7" fillId="0" borderId="10" xfId="49" applyFont="1" applyFill="1" applyBorder="1">
      <alignment/>
      <protection/>
    </xf>
    <xf numFmtId="192" fontId="7" fillId="0" borderId="88" xfId="34" applyNumberFormat="1" applyFont="1" applyFill="1" applyBorder="1" applyAlignment="1">
      <alignment/>
    </xf>
    <xf numFmtId="3" fontId="7" fillId="0" borderId="88" xfId="34" applyNumberFormat="1" applyFont="1" applyFill="1" applyBorder="1" applyAlignment="1">
      <alignment/>
    </xf>
    <xf numFmtId="215" fontId="7" fillId="0" borderId="85" xfId="34" applyNumberFormat="1" applyFont="1" applyFill="1" applyBorder="1" applyAlignment="1">
      <alignment/>
    </xf>
    <xf numFmtId="4" fontId="7" fillId="0" borderId="101" xfId="34" applyNumberFormat="1" applyFont="1" applyFill="1" applyBorder="1" applyAlignment="1">
      <alignment horizontal="right"/>
    </xf>
    <xf numFmtId="4" fontId="7" fillId="0" borderId="86" xfId="34" applyNumberFormat="1" applyFont="1" applyFill="1" applyBorder="1" applyAlignment="1">
      <alignment horizontal="center"/>
    </xf>
    <xf numFmtId="192" fontId="7" fillId="0" borderId="88" xfId="34" applyNumberFormat="1" applyFont="1" applyFill="1" applyBorder="1" applyAlignment="1">
      <alignment horizontal="right"/>
    </xf>
    <xf numFmtId="4" fontId="7" fillId="0" borderId="86" xfId="34" applyNumberFormat="1" applyFont="1" applyFill="1" applyBorder="1" applyAlignment="1">
      <alignment horizontal="right"/>
    </xf>
    <xf numFmtId="4" fontId="7" fillId="0" borderId="85" xfId="34" applyNumberFormat="1" applyFont="1" applyFill="1" applyBorder="1" applyAlignment="1">
      <alignment horizontal="center"/>
    </xf>
    <xf numFmtId="0" fontId="7" fillId="0" borderId="11" xfId="49" applyFont="1" applyFill="1" applyBorder="1" applyAlignment="1">
      <alignment horizontal="center"/>
      <protection/>
    </xf>
    <xf numFmtId="2" fontId="7" fillId="0" borderId="102" xfId="39" applyNumberFormat="1" applyFont="1" applyFill="1" applyBorder="1" applyAlignment="1">
      <alignment horizontal="center"/>
    </xf>
    <xf numFmtId="194" fontId="7" fillId="0" borderId="86" xfId="39" applyNumberFormat="1" applyFont="1" applyFill="1" applyBorder="1" applyAlignment="1">
      <alignment horizontal="center"/>
    </xf>
    <xf numFmtId="2" fontId="7" fillId="0" borderId="86" xfId="39" applyNumberFormat="1" applyFont="1" applyFill="1" applyBorder="1" applyAlignment="1">
      <alignment horizontal="center"/>
    </xf>
    <xf numFmtId="0" fontId="8" fillId="0" borderId="103" xfId="49" applyFont="1" applyFill="1" applyBorder="1" applyAlignment="1">
      <alignment horizontal="center" vertical="center"/>
      <protection/>
    </xf>
    <xf numFmtId="0" fontId="8" fillId="0" borderId="104" xfId="49" applyFont="1" applyFill="1" applyBorder="1">
      <alignment/>
      <protection/>
    </xf>
    <xf numFmtId="215" fontId="8" fillId="0" borderId="104" xfId="34" applyNumberFormat="1" applyFont="1" applyFill="1" applyBorder="1" applyAlignment="1">
      <alignment/>
    </xf>
    <xf numFmtId="4" fontId="8" fillId="0" borderId="104" xfId="34" applyNumberFormat="1" applyFont="1" applyFill="1" applyBorder="1" applyAlignment="1">
      <alignment horizontal="right"/>
    </xf>
    <xf numFmtId="4" fontId="8" fillId="0" borderId="104" xfId="34" applyNumberFormat="1" applyFont="1" applyFill="1" applyBorder="1" applyAlignment="1">
      <alignment horizontal="center"/>
    </xf>
    <xf numFmtId="192" fontId="8" fillId="0" borderId="104" xfId="34" applyNumberFormat="1" applyFont="1" applyFill="1" applyBorder="1" applyAlignment="1">
      <alignment horizontal="center"/>
    </xf>
    <xf numFmtId="3" fontId="8" fillId="0" borderId="104" xfId="34" applyNumberFormat="1" applyFont="1" applyFill="1" applyBorder="1" applyAlignment="1">
      <alignment horizontal="center"/>
    </xf>
    <xf numFmtId="2" fontId="8" fillId="0" borderId="104" xfId="34" applyNumberFormat="1" applyFont="1" applyFill="1" applyBorder="1" applyAlignment="1">
      <alignment horizontal="center"/>
    </xf>
    <xf numFmtId="2" fontId="8" fillId="0" borderId="104" xfId="39" applyNumberFormat="1" applyFont="1" applyFill="1" applyBorder="1" applyAlignment="1">
      <alignment horizontal="center"/>
    </xf>
    <xf numFmtId="49" fontId="8" fillId="0" borderId="105" xfId="39" applyNumberFormat="1" applyFont="1" applyFill="1" applyBorder="1" applyAlignment="1">
      <alignment horizontal="center"/>
    </xf>
    <xf numFmtId="2" fontId="7" fillId="0" borderId="84" xfId="39" applyNumberFormat="1" applyFont="1" applyFill="1" applyBorder="1" applyAlignment="1">
      <alignment horizontal="center"/>
    </xf>
    <xf numFmtId="49" fontId="7" fillId="0" borderId="86" xfId="49" applyNumberFormat="1" applyFont="1" applyFill="1" applyBorder="1" applyAlignment="1">
      <alignment horizontal="center"/>
      <protection/>
    </xf>
    <xf numFmtId="49" fontId="7" fillId="0" borderId="52" xfId="49" applyNumberFormat="1" applyFont="1" applyFill="1" applyBorder="1" applyAlignment="1">
      <alignment horizontal="center"/>
      <protection/>
    </xf>
    <xf numFmtId="49" fontId="7" fillId="0" borderId="95" xfId="39" applyNumberFormat="1" applyFont="1" applyFill="1" applyBorder="1" applyAlignment="1">
      <alignment horizontal="center"/>
    </xf>
    <xf numFmtId="49" fontId="7" fillId="0" borderId="18" xfId="39" applyNumberFormat="1" applyFont="1" applyFill="1" applyBorder="1" applyAlignment="1">
      <alignment horizontal="center"/>
    </xf>
    <xf numFmtId="0" fontId="10" fillId="0" borderId="0" xfId="49" applyFont="1" applyFill="1" applyAlignment="1">
      <alignment horizontal="centerContinuous"/>
      <protection/>
    </xf>
    <xf numFmtId="4" fontId="11" fillId="0" borderId="0" xfId="34" applyNumberFormat="1" applyFont="1" applyFill="1" applyBorder="1" applyAlignment="1">
      <alignment horizontal="right"/>
    </xf>
    <xf numFmtId="194" fontId="12" fillId="0" borderId="0" xfId="49" applyNumberFormat="1" applyFont="1" applyFill="1" applyBorder="1">
      <alignment/>
      <protection/>
    </xf>
    <xf numFmtId="0" fontId="11" fillId="0" borderId="0" xfId="49" applyFont="1" applyFill="1">
      <alignment/>
      <protection/>
    </xf>
    <xf numFmtId="0" fontId="10" fillId="0" borderId="0" xfId="49" applyFont="1" applyFill="1">
      <alignment/>
      <protection/>
    </xf>
    <xf numFmtId="217" fontId="7" fillId="0" borderId="32" xfId="34" applyNumberFormat="1" applyFont="1" applyFill="1" applyBorder="1" applyAlignment="1">
      <alignment horizontal="right"/>
    </xf>
    <xf numFmtId="217" fontId="7" fillId="0" borderId="44" xfId="34" applyNumberFormat="1" applyFont="1" applyFill="1" applyBorder="1" applyAlignment="1">
      <alignment horizontal="right"/>
    </xf>
    <xf numFmtId="217" fontId="7" fillId="0" borderId="52" xfId="34" applyNumberFormat="1" applyFont="1" applyFill="1" applyBorder="1" applyAlignment="1">
      <alignment horizontal="right"/>
    </xf>
    <xf numFmtId="217" fontId="7" fillId="0" borderId="69" xfId="34" applyNumberFormat="1" applyFont="1" applyFill="1" applyBorder="1" applyAlignment="1">
      <alignment horizontal="right"/>
    </xf>
    <xf numFmtId="217" fontId="7" fillId="0" borderId="77" xfId="34" applyNumberFormat="1" applyFont="1" applyFill="1" applyBorder="1" applyAlignment="1">
      <alignment horizontal="right"/>
    </xf>
    <xf numFmtId="217" fontId="7" fillId="0" borderId="79" xfId="34" applyNumberFormat="1" applyFont="1" applyFill="1" applyBorder="1" applyAlignment="1">
      <alignment horizontal="right"/>
    </xf>
    <xf numFmtId="217" fontId="8" fillId="0" borderId="32" xfId="34" applyNumberFormat="1" applyFont="1" applyFill="1" applyBorder="1" applyAlignment="1">
      <alignment horizontal="right"/>
    </xf>
    <xf numFmtId="217" fontId="8" fillId="0" borderId="64" xfId="34" applyNumberFormat="1" applyFont="1" applyFill="1" applyBorder="1" applyAlignment="1">
      <alignment horizontal="right"/>
    </xf>
    <xf numFmtId="217" fontId="7" fillId="0" borderId="29" xfId="34" applyNumberFormat="1" applyFont="1" applyFill="1" applyBorder="1" applyAlignment="1">
      <alignment horizontal="center"/>
    </xf>
    <xf numFmtId="217" fontId="7" fillId="0" borderId="45" xfId="34" applyNumberFormat="1" applyFont="1" applyFill="1" applyBorder="1" applyAlignment="1">
      <alignment horizontal="center"/>
    </xf>
    <xf numFmtId="217" fontId="7" fillId="0" borderId="51" xfId="34" applyNumberFormat="1" applyFont="1" applyFill="1" applyBorder="1" applyAlignment="1">
      <alignment horizontal="center"/>
    </xf>
    <xf numFmtId="217" fontId="7" fillId="0" borderId="81" xfId="34" applyNumberFormat="1" applyFont="1" applyFill="1" applyBorder="1" applyAlignment="1">
      <alignment horizontal="right"/>
    </xf>
    <xf numFmtId="217" fontId="7" fillId="0" borderId="51" xfId="34" applyNumberFormat="1" applyFont="1" applyFill="1" applyBorder="1" applyAlignment="1">
      <alignment horizontal="right"/>
    </xf>
    <xf numFmtId="217" fontId="7" fillId="0" borderId="62" xfId="34" applyNumberFormat="1" applyFont="1" applyFill="1" applyBorder="1" applyAlignment="1">
      <alignment horizontal="center"/>
    </xf>
    <xf numFmtId="217" fontId="7" fillId="0" borderId="41" xfId="34" applyNumberFormat="1" applyFont="1" applyFill="1" applyBorder="1" applyAlignment="1">
      <alignment horizontal="right"/>
    </xf>
    <xf numFmtId="217" fontId="8" fillId="0" borderId="29" xfId="34" applyNumberFormat="1" applyFont="1" applyFill="1" applyBorder="1" applyAlignment="1">
      <alignment horizontal="center"/>
    </xf>
    <xf numFmtId="217" fontId="8" fillId="0" borderId="73" xfId="34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49" applyFo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26" xfId="49" applyFont="1" applyFill="1" applyBorder="1">
      <alignment/>
      <protection/>
    </xf>
    <xf numFmtId="0" fontId="11" fillId="0" borderId="27" xfId="49" applyFont="1" applyFill="1" applyBorder="1">
      <alignment/>
      <protection/>
    </xf>
    <xf numFmtId="215" fontId="11" fillId="0" borderId="28" xfId="34" applyNumberFormat="1" applyFont="1" applyFill="1" applyBorder="1" applyAlignment="1">
      <alignment/>
    </xf>
    <xf numFmtId="192" fontId="11" fillId="0" borderId="29" xfId="34" applyNumberFormat="1" applyFont="1" applyFill="1" applyBorder="1" applyAlignment="1">
      <alignment/>
    </xf>
    <xf numFmtId="215" fontId="11" fillId="0" borderId="29" xfId="34" applyNumberFormat="1" applyFont="1" applyFill="1" applyBorder="1" applyAlignment="1">
      <alignment/>
    </xf>
    <xf numFmtId="215" fontId="11" fillId="0" borderId="30" xfId="34" applyNumberFormat="1" applyFont="1" applyFill="1" applyBorder="1" applyAlignment="1">
      <alignment/>
    </xf>
    <xf numFmtId="4" fontId="11" fillId="0" borderId="48" xfId="34" applyNumberFormat="1" applyFont="1" applyFill="1" applyBorder="1" applyAlignment="1">
      <alignment horizontal="right"/>
    </xf>
    <xf numFmtId="4" fontId="11" fillId="0" borderId="32" xfId="34" applyNumberFormat="1" applyFont="1" applyFill="1" applyBorder="1" applyAlignment="1">
      <alignment horizontal="center"/>
    </xf>
    <xf numFmtId="217" fontId="11" fillId="0" borderId="32" xfId="34" applyNumberFormat="1" applyFont="1" applyFill="1" applyBorder="1" applyAlignment="1">
      <alignment horizontal="right"/>
    </xf>
    <xf numFmtId="217" fontId="11" fillId="0" borderId="29" xfId="34" applyNumberFormat="1" applyFont="1" applyFill="1" applyBorder="1" applyAlignment="1">
      <alignment horizontal="center"/>
    </xf>
    <xf numFmtId="4" fontId="11" fillId="0" borderId="29" xfId="34" applyNumberFormat="1" applyFont="1" applyFill="1" applyBorder="1" applyAlignment="1">
      <alignment horizontal="right"/>
    </xf>
    <xf numFmtId="4" fontId="11" fillId="0" borderId="32" xfId="34" applyNumberFormat="1" applyFont="1" applyFill="1" applyBorder="1" applyAlignment="1">
      <alignment horizontal="right"/>
    </xf>
    <xf numFmtId="4" fontId="11" fillId="0" borderId="30" xfId="34" applyNumberFormat="1" applyFont="1" applyFill="1" applyBorder="1" applyAlignment="1">
      <alignment horizontal="center"/>
    </xf>
    <xf numFmtId="0" fontId="11" fillId="0" borderId="33" xfId="49" applyFont="1" applyFill="1" applyBorder="1" applyAlignment="1">
      <alignment horizontal="center"/>
      <protection/>
    </xf>
    <xf numFmtId="2" fontId="11" fillId="0" borderId="34" xfId="34" applyNumberFormat="1" applyFont="1" applyFill="1" applyBorder="1" applyAlignment="1">
      <alignment horizontal="center"/>
    </xf>
    <xf numFmtId="194" fontId="11" fillId="0" borderId="35" xfId="34" applyNumberFormat="1" applyFont="1" applyFill="1" applyBorder="1" applyAlignment="1">
      <alignment horizontal="center"/>
    </xf>
    <xf numFmtId="2" fontId="11" fillId="0" borderId="49" xfId="39" applyNumberFormat="1" applyFont="1" applyFill="1" applyBorder="1" applyAlignment="1">
      <alignment horizontal="center"/>
    </xf>
    <xf numFmtId="2" fontId="11" fillId="0" borderId="36" xfId="34" applyNumberFormat="1" applyFont="1" applyFill="1" applyBorder="1" applyAlignment="1">
      <alignment horizontal="center"/>
    </xf>
    <xf numFmtId="49" fontId="11" fillId="0" borderId="37" xfId="49" applyNumberFormat="1" applyFont="1" applyFill="1" applyBorder="1" applyAlignment="1">
      <alignment horizontal="center"/>
      <protection/>
    </xf>
    <xf numFmtId="0" fontId="13" fillId="0" borderId="0" xfId="49" applyFont="1" applyFill="1">
      <alignment/>
      <protection/>
    </xf>
    <xf numFmtId="0" fontId="11" fillId="0" borderId="38" xfId="49" applyFont="1" applyFill="1" applyBorder="1">
      <alignment/>
      <protection/>
    </xf>
    <xf numFmtId="0" fontId="11" fillId="0" borderId="16" xfId="49" applyFont="1" applyFill="1" applyBorder="1">
      <alignment/>
      <protection/>
    </xf>
    <xf numFmtId="215" fontId="11" fillId="0" borderId="25" xfId="34" applyNumberFormat="1" applyFont="1" applyFill="1" applyBorder="1" applyAlignment="1">
      <alignment/>
    </xf>
    <xf numFmtId="192" fontId="11" fillId="0" borderId="45" xfId="34" applyNumberFormat="1" applyFont="1" applyFill="1" applyBorder="1" applyAlignment="1">
      <alignment/>
    </xf>
    <xf numFmtId="215" fontId="11" fillId="0" borderId="45" xfId="34" applyNumberFormat="1" applyFont="1" applyFill="1" applyBorder="1" applyAlignment="1">
      <alignment/>
    </xf>
    <xf numFmtId="215" fontId="11" fillId="0" borderId="46" xfId="34" applyNumberFormat="1" applyFont="1" applyFill="1" applyBorder="1" applyAlignment="1">
      <alignment/>
    </xf>
    <xf numFmtId="4" fontId="11" fillId="0" borderId="50" xfId="34" applyNumberFormat="1" applyFont="1" applyFill="1" applyBorder="1" applyAlignment="1">
      <alignment horizontal="right"/>
    </xf>
    <xf numFmtId="4" fontId="11" fillId="0" borderId="44" xfId="34" applyNumberFormat="1" applyFont="1" applyFill="1" applyBorder="1" applyAlignment="1">
      <alignment horizontal="center"/>
    </xf>
    <xf numFmtId="217" fontId="11" fillId="0" borderId="44" xfId="34" applyNumberFormat="1" applyFont="1" applyFill="1" applyBorder="1" applyAlignment="1">
      <alignment horizontal="right"/>
    </xf>
    <xf numFmtId="217" fontId="11" fillId="0" borderId="45" xfId="34" applyNumberFormat="1" applyFont="1" applyFill="1" applyBorder="1" applyAlignment="1">
      <alignment horizontal="center"/>
    </xf>
    <xf numFmtId="4" fontId="11" fillId="0" borderId="45" xfId="34" applyNumberFormat="1" applyFont="1" applyFill="1" applyBorder="1" applyAlignment="1">
      <alignment horizontal="right"/>
    </xf>
    <xf numFmtId="4" fontId="11" fillId="0" borderId="44" xfId="34" applyNumberFormat="1" applyFont="1" applyFill="1" applyBorder="1" applyAlignment="1">
      <alignment horizontal="right"/>
    </xf>
    <xf numFmtId="4" fontId="11" fillId="0" borderId="46" xfId="34" applyNumberFormat="1" applyFont="1" applyFill="1" applyBorder="1" applyAlignment="1">
      <alignment horizontal="center"/>
    </xf>
    <xf numFmtId="0" fontId="11" fillId="0" borderId="23" xfId="49" applyFont="1" applyFill="1" applyBorder="1" applyAlignment="1">
      <alignment horizontal="center"/>
      <protection/>
    </xf>
    <xf numFmtId="2" fontId="11" fillId="0" borderId="51" xfId="39" applyNumberFormat="1" applyFont="1" applyFill="1" applyBorder="1" applyAlignment="1">
      <alignment horizontal="center"/>
    </xf>
    <xf numFmtId="194" fontId="11" fillId="0" borderId="52" xfId="39" applyNumberFormat="1" applyFont="1" applyFill="1" applyBorder="1" applyAlignment="1">
      <alignment horizontal="center"/>
    </xf>
    <xf numFmtId="2" fontId="11" fillId="0" borderId="52" xfId="39" applyNumberFormat="1" applyFont="1" applyFill="1" applyBorder="1" applyAlignment="1">
      <alignment horizontal="center"/>
    </xf>
    <xf numFmtId="2" fontId="11" fillId="0" borderId="53" xfId="39" applyNumberFormat="1" applyFont="1" applyFill="1" applyBorder="1" applyAlignment="1">
      <alignment horizontal="center"/>
    </xf>
    <xf numFmtId="49" fontId="11" fillId="0" borderId="25" xfId="39" applyNumberFormat="1" applyFont="1" applyFill="1" applyBorder="1" applyAlignment="1">
      <alignment horizontal="center"/>
    </xf>
    <xf numFmtId="0" fontId="11" fillId="0" borderId="14" xfId="49" applyFont="1" applyFill="1" applyBorder="1" applyAlignment="1">
      <alignment horizontal="center"/>
      <protection/>
    </xf>
    <xf numFmtId="4" fontId="11" fillId="0" borderId="56" xfId="34" applyNumberFormat="1" applyFont="1" applyFill="1" applyBorder="1" applyAlignment="1">
      <alignment horizontal="center"/>
    </xf>
    <xf numFmtId="2" fontId="11" fillId="0" borderId="106" xfId="39" applyNumberFormat="1" applyFont="1" applyFill="1" applyBorder="1" applyAlignment="1">
      <alignment horizontal="center"/>
    </xf>
    <xf numFmtId="194" fontId="11" fillId="0" borderId="51" xfId="39" applyNumberFormat="1" applyFont="1" applyFill="1" applyBorder="1" applyAlignment="1">
      <alignment horizontal="center"/>
    </xf>
    <xf numFmtId="2" fontId="11" fillId="0" borderId="0" xfId="39" applyNumberFormat="1" applyFont="1" applyFill="1" applyBorder="1" applyAlignment="1">
      <alignment horizontal="center"/>
    </xf>
    <xf numFmtId="49" fontId="11" fillId="0" borderId="15" xfId="39" applyNumberFormat="1" applyFont="1" applyFill="1" applyBorder="1" applyAlignment="1">
      <alignment horizontal="center"/>
    </xf>
    <xf numFmtId="217" fontId="7" fillId="0" borderId="95" xfId="34" applyNumberFormat="1" applyFont="1" applyFill="1" applyBorder="1" applyAlignment="1">
      <alignment horizontal="right"/>
    </xf>
    <xf numFmtId="217" fontId="7" fillId="0" borderId="86" xfId="34" applyNumberFormat="1" applyFont="1" applyFill="1" applyBorder="1" applyAlignment="1">
      <alignment horizontal="right"/>
    </xf>
    <xf numFmtId="217" fontId="8" fillId="0" borderId="104" xfId="34" applyNumberFormat="1" applyFont="1" applyFill="1" applyBorder="1" applyAlignment="1">
      <alignment horizontal="right"/>
    </xf>
    <xf numFmtId="215" fontId="7" fillId="0" borderId="62" xfId="34" applyNumberFormat="1" applyFont="1" applyFill="1" applyBorder="1" applyAlignment="1">
      <alignment/>
    </xf>
    <xf numFmtId="4" fontId="7" fillId="0" borderId="76" xfId="34" applyNumberFormat="1" applyFont="1" applyFill="1" applyBorder="1" applyAlignment="1">
      <alignment horizontal="right"/>
    </xf>
    <xf numFmtId="4" fontId="7" fillId="0" borderId="77" xfId="34" applyNumberFormat="1" applyFont="1" applyFill="1" applyBorder="1" applyAlignment="1">
      <alignment horizontal="center"/>
    </xf>
    <xf numFmtId="4" fontId="7" fillId="0" borderId="62" xfId="34" applyNumberFormat="1" applyFont="1" applyFill="1" applyBorder="1" applyAlignment="1">
      <alignment horizontal="right"/>
    </xf>
    <xf numFmtId="4" fontId="7" fillId="0" borderId="77" xfId="34" applyNumberFormat="1" applyFont="1" applyFill="1" applyBorder="1" applyAlignment="1">
      <alignment horizontal="right"/>
    </xf>
    <xf numFmtId="4" fontId="7" fillId="0" borderId="71" xfId="34" applyNumberFormat="1" applyFont="1" applyFill="1" applyBorder="1" applyAlignment="1">
      <alignment horizontal="center"/>
    </xf>
    <xf numFmtId="192" fontId="7" fillId="0" borderId="107" xfId="34" applyNumberFormat="1" applyFont="1" applyFill="1" applyBorder="1" applyAlignment="1">
      <alignment/>
    </xf>
    <xf numFmtId="215" fontId="7" fillId="0" borderId="107" xfId="34" applyNumberFormat="1" applyFont="1" applyFill="1" applyBorder="1" applyAlignment="1">
      <alignment/>
    </xf>
    <xf numFmtId="215" fontId="7" fillId="0" borderId="108" xfId="34" applyNumberFormat="1" applyFont="1" applyFill="1" applyBorder="1" applyAlignment="1">
      <alignment/>
    </xf>
    <xf numFmtId="4" fontId="7" fillId="0" borderId="109" xfId="34" applyNumberFormat="1" applyFont="1" applyFill="1" applyBorder="1" applyAlignment="1">
      <alignment horizontal="right"/>
    </xf>
    <xf numFmtId="4" fontId="7" fillId="0" borderId="110" xfId="34" applyNumberFormat="1" applyFont="1" applyFill="1" applyBorder="1" applyAlignment="1">
      <alignment horizontal="center"/>
    </xf>
    <xf numFmtId="217" fontId="7" fillId="0" borderId="110" xfId="34" applyNumberFormat="1" applyFont="1" applyFill="1" applyBorder="1" applyAlignment="1">
      <alignment horizontal="right"/>
    </xf>
    <xf numFmtId="217" fontId="7" fillId="0" borderId="107" xfId="34" applyNumberFormat="1" applyFont="1" applyFill="1" applyBorder="1" applyAlignment="1">
      <alignment horizontal="center"/>
    </xf>
    <xf numFmtId="4" fontId="7" fillId="0" borderId="110" xfId="34" applyNumberFormat="1" applyFont="1" applyFill="1" applyBorder="1" applyAlignment="1">
      <alignment horizontal="right"/>
    </xf>
    <xf numFmtId="4" fontId="7" fillId="0" borderId="108" xfId="34" applyNumberFormat="1" applyFont="1" applyFill="1" applyBorder="1" applyAlignment="1">
      <alignment horizontal="center"/>
    </xf>
    <xf numFmtId="2" fontId="7" fillId="0" borderId="102" xfId="34" applyNumberFormat="1" applyFont="1" applyFill="1" applyBorder="1" applyAlignment="1">
      <alignment horizontal="center"/>
    </xf>
    <xf numFmtId="194" fontId="7" fillId="0" borderId="88" xfId="34" applyNumberFormat="1" applyFont="1" applyFill="1" applyBorder="1" applyAlignment="1">
      <alignment horizontal="center"/>
    </xf>
    <xf numFmtId="2" fontId="7" fillId="0" borderId="88" xfId="34" applyNumberFormat="1" applyFont="1" applyFill="1" applyBorder="1" applyAlignment="1">
      <alignment horizontal="center"/>
    </xf>
    <xf numFmtId="215" fontId="7" fillId="0" borderId="73" xfId="34" applyNumberFormat="1" applyFont="1" applyFill="1" applyBorder="1" applyAlignment="1">
      <alignment/>
    </xf>
    <xf numFmtId="4" fontId="7" fillId="0" borderId="111" xfId="34" applyNumberFormat="1" applyFont="1" applyFill="1" applyBorder="1" applyAlignment="1">
      <alignment horizontal="right"/>
    </xf>
    <xf numFmtId="217" fontId="7" fillId="0" borderId="81" xfId="34" applyNumberFormat="1" applyFont="1" applyFill="1" applyBorder="1" applyAlignment="1">
      <alignment horizontal="center"/>
    </xf>
    <xf numFmtId="4" fontId="7" fillId="0" borderId="81" xfId="34" applyNumberFormat="1" applyFont="1" applyFill="1" applyBorder="1" applyAlignment="1">
      <alignment horizontal="right"/>
    </xf>
    <xf numFmtId="49" fontId="7" fillId="0" borderId="67" xfId="49" applyNumberFormat="1" applyFont="1" applyFill="1" applyBorder="1" applyAlignment="1">
      <alignment horizontal="center"/>
      <protection/>
    </xf>
    <xf numFmtId="49" fontId="7" fillId="0" borderId="81" xfId="39" applyNumberFormat="1" applyFont="1" applyFill="1" applyBorder="1" applyAlignment="1">
      <alignment horizontal="center"/>
    </xf>
    <xf numFmtId="2" fontId="7" fillId="0" borderId="112" xfId="39" applyNumberFormat="1" applyFont="1" applyFill="1" applyBorder="1" applyAlignment="1">
      <alignment horizontal="center"/>
    </xf>
    <xf numFmtId="4" fontId="7" fillId="0" borderId="51" xfId="34" applyNumberFormat="1" applyFont="1" applyFill="1" applyBorder="1" applyAlignment="1">
      <alignment horizontal="right"/>
    </xf>
    <xf numFmtId="4" fontId="7" fillId="0" borderId="113" xfId="34" applyNumberFormat="1" applyFont="1" applyFill="1" applyBorder="1" applyAlignment="1">
      <alignment horizontal="right"/>
    </xf>
    <xf numFmtId="4" fontId="7" fillId="0" borderId="107" xfId="34" applyNumberFormat="1" applyFont="1" applyFill="1" applyBorder="1" applyAlignment="1">
      <alignment horizontal="right"/>
    </xf>
    <xf numFmtId="215" fontId="7" fillId="0" borderId="81" xfId="34" applyNumberFormat="1" applyFont="1" applyFill="1" applyBorder="1" applyAlignment="1">
      <alignment/>
    </xf>
    <xf numFmtId="2" fontId="7" fillId="0" borderId="81" xfId="39" applyNumberFormat="1" applyFont="1" applyFill="1" applyBorder="1" applyAlignment="1">
      <alignment horizontal="center"/>
    </xf>
    <xf numFmtId="194" fontId="7" fillId="0" borderId="81" xfId="39" applyNumberFormat="1" applyFont="1" applyFill="1" applyBorder="1" applyAlignment="1">
      <alignment horizontal="center"/>
    </xf>
    <xf numFmtId="2" fontId="7" fillId="0" borderId="68" xfId="39" applyNumberFormat="1" applyFont="1" applyFill="1" applyBorder="1" applyAlignment="1">
      <alignment horizontal="center"/>
    </xf>
    <xf numFmtId="49" fontId="7" fillId="0" borderId="14" xfId="49" applyNumberFormat="1" applyFont="1" applyFill="1" applyBorder="1" applyAlignment="1">
      <alignment horizontal="center"/>
      <protection/>
    </xf>
    <xf numFmtId="49" fontId="7" fillId="0" borderId="51" xfId="39" applyNumberFormat="1" applyFont="1" applyFill="1" applyBorder="1" applyAlignment="1">
      <alignment horizontal="center"/>
    </xf>
    <xf numFmtId="192" fontId="7" fillId="0" borderId="114" xfId="34" applyNumberFormat="1" applyFont="1" applyFill="1" applyBorder="1" applyAlignment="1">
      <alignment/>
    </xf>
    <xf numFmtId="3" fontId="7" fillId="0" borderId="114" xfId="34" applyNumberFormat="1" applyFont="1" applyFill="1" applyBorder="1" applyAlignment="1">
      <alignment/>
    </xf>
    <xf numFmtId="215" fontId="7" fillId="0" borderId="115" xfId="34" applyNumberFormat="1" applyFont="1" applyFill="1" applyBorder="1" applyAlignment="1">
      <alignment/>
    </xf>
    <xf numFmtId="194" fontId="7" fillId="0" borderId="116" xfId="34" applyNumberFormat="1" applyFont="1" applyFill="1" applyBorder="1" applyAlignment="1">
      <alignment horizontal="right"/>
    </xf>
    <xf numFmtId="194" fontId="7" fillId="0" borderId="117" xfId="34" applyNumberFormat="1" applyFont="1" applyFill="1" applyBorder="1" applyAlignment="1">
      <alignment horizontal="center"/>
    </xf>
    <xf numFmtId="217" fontId="7" fillId="0" borderId="117" xfId="34" applyNumberFormat="1" applyFont="1" applyFill="1" applyBorder="1" applyAlignment="1">
      <alignment horizontal="right"/>
    </xf>
    <xf numFmtId="217" fontId="7" fillId="0" borderId="114" xfId="34" applyNumberFormat="1" applyFont="1" applyFill="1" applyBorder="1" applyAlignment="1">
      <alignment horizontal="right"/>
    </xf>
    <xf numFmtId="194" fontId="7" fillId="0" borderId="117" xfId="34" applyNumberFormat="1" applyFont="1" applyFill="1" applyBorder="1" applyAlignment="1">
      <alignment horizontal="right"/>
    </xf>
    <xf numFmtId="194" fontId="7" fillId="0" borderId="115" xfId="34" applyNumberFormat="1" applyFont="1" applyFill="1" applyBorder="1" applyAlignment="1">
      <alignment horizontal="center"/>
    </xf>
    <xf numFmtId="215" fontId="8" fillId="0" borderId="110" xfId="34" applyNumberFormat="1" applyFont="1" applyFill="1" applyBorder="1" applyAlignment="1">
      <alignment/>
    </xf>
    <xf numFmtId="4" fontId="8" fillId="0" borderId="113" xfId="34" applyNumberFormat="1" applyFont="1" applyFill="1" applyBorder="1" applyAlignment="1">
      <alignment horizontal="right"/>
    </xf>
    <xf numFmtId="4" fontId="8" fillId="0" borderId="110" xfId="34" applyNumberFormat="1" applyFont="1" applyFill="1" applyBorder="1" applyAlignment="1">
      <alignment horizontal="center"/>
    </xf>
    <xf numFmtId="217" fontId="8" fillId="0" borderId="110" xfId="34" applyNumberFormat="1" applyFont="1" applyFill="1" applyBorder="1" applyAlignment="1">
      <alignment horizontal="right"/>
    </xf>
    <xf numFmtId="217" fontId="8" fillId="0" borderId="107" xfId="34" applyNumberFormat="1" applyFont="1" applyFill="1" applyBorder="1" applyAlignment="1">
      <alignment horizontal="center"/>
    </xf>
    <xf numFmtId="4" fontId="8" fillId="0" borderId="110" xfId="34" applyNumberFormat="1" applyFont="1" applyFill="1" applyBorder="1" applyAlignment="1">
      <alignment horizontal="right"/>
    </xf>
    <xf numFmtId="4" fontId="8" fillId="0" borderId="108" xfId="34" applyNumberFormat="1" applyFont="1" applyFill="1" applyBorder="1" applyAlignment="1">
      <alignment horizontal="center"/>
    </xf>
    <xf numFmtId="215" fontId="8" fillId="0" borderId="11" xfId="34" applyNumberFormat="1" applyFont="1" applyFill="1" applyBorder="1" applyAlignment="1">
      <alignment horizontal="center"/>
    </xf>
    <xf numFmtId="2" fontId="8" fillId="0" borderId="102" xfId="34" applyNumberFormat="1" applyFont="1" applyFill="1" applyBorder="1" applyAlignment="1">
      <alignment horizontal="center"/>
    </xf>
    <xf numFmtId="194" fontId="8" fillId="0" borderId="88" xfId="34" applyNumberFormat="1" applyFont="1" applyFill="1" applyBorder="1" applyAlignment="1">
      <alignment horizontal="center"/>
    </xf>
    <xf numFmtId="2" fontId="8" fillId="0" borderId="86" xfId="39" applyNumberFormat="1" applyFont="1" applyFill="1" applyBorder="1" applyAlignment="1">
      <alignment horizontal="center"/>
    </xf>
    <xf numFmtId="0" fontId="7" fillId="0" borderId="89" xfId="49" applyFont="1" applyFill="1" applyBorder="1">
      <alignment/>
      <protection/>
    </xf>
    <xf numFmtId="0" fontId="7" fillId="0" borderId="112" xfId="49" applyFont="1" applyFill="1" applyBorder="1">
      <alignment/>
      <protection/>
    </xf>
    <xf numFmtId="0" fontId="7" fillId="0" borderId="53" xfId="49" applyFont="1" applyFill="1" applyBorder="1">
      <alignment/>
      <protection/>
    </xf>
    <xf numFmtId="215" fontId="7" fillId="0" borderId="112" xfId="49" applyNumberFormat="1" applyFont="1" applyFill="1" applyBorder="1">
      <alignment/>
      <protection/>
    </xf>
    <xf numFmtId="0" fontId="7" fillId="0" borderId="53" xfId="49" applyFont="1" applyFill="1" applyBorder="1" applyAlignment="1">
      <alignment horizontal="center"/>
      <protection/>
    </xf>
    <xf numFmtId="215" fontId="8" fillId="0" borderId="107" xfId="34" applyNumberFormat="1" applyFont="1" applyFill="1" applyBorder="1" applyAlignment="1">
      <alignment/>
    </xf>
    <xf numFmtId="215" fontId="8" fillId="0" borderId="73" xfId="34" applyNumberFormat="1" applyFont="1" applyFill="1" applyBorder="1" applyAlignment="1">
      <alignment/>
    </xf>
    <xf numFmtId="0" fontId="7" fillId="0" borderId="52" xfId="49" applyFont="1" applyFill="1" applyBorder="1" applyAlignment="1">
      <alignment horizontal="centerContinuous"/>
      <protection/>
    </xf>
    <xf numFmtId="0" fontId="7" fillId="0" borderId="110" xfId="49" applyFont="1" applyFill="1" applyBorder="1">
      <alignment/>
      <protection/>
    </xf>
    <xf numFmtId="0" fontId="7" fillId="0" borderId="64" xfId="49" applyFont="1" applyFill="1" applyBorder="1">
      <alignment/>
      <protection/>
    </xf>
    <xf numFmtId="0" fontId="7" fillId="0" borderId="77" xfId="49" applyFont="1" applyFill="1" applyBorder="1">
      <alignment/>
      <protection/>
    </xf>
    <xf numFmtId="0" fontId="7" fillId="0" borderId="52" xfId="49" applyFont="1" applyFill="1" applyBorder="1">
      <alignment/>
      <protection/>
    </xf>
    <xf numFmtId="0" fontId="7" fillId="0" borderId="69" xfId="49" applyFont="1" applyFill="1" applyBorder="1">
      <alignment/>
      <protection/>
    </xf>
    <xf numFmtId="0" fontId="8" fillId="0" borderId="110" xfId="49" applyFont="1" applyFill="1" applyBorder="1">
      <alignment/>
      <protection/>
    </xf>
    <xf numFmtId="0" fontId="8" fillId="0" borderId="64" xfId="49" applyFont="1" applyFill="1" applyBorder="1">
      <alignment/>
      <protection/>
    </xf>
    <xf numFmtId="2" fontId="7" fillId="0" borderId="84" xfId="34" applyNumberFormat="1" applyFont="1" applyFill="1" applyBorder="1" applyAlignment="1">
      <alignment horizontal="center"/>
    </xf>
    <xf numFmtId="2" fontId="7" fillId="0" borderId="0" xfId="34" applyNumberFormat="1" applyFont="1" applyFill="1" applyBorder="1" applyAlignment="1">
      <alignment horizontal="center"/>
    </xf>
    <xf numFmtId="2" fontId="8" fillId="0" borderId="84" xfId="34" applyNumberFormat="1" applyFont="1" applyFill="1" applyBorder="1" applyAlignment="1">
      <alignment horizontal="center"/>
    </xf>
    <xf numFmtId="49" fontId="7" fillId="0" borderId="69" xfId="39" applyNumberFormat="1" applyFont="1" applyFill="1" applyBorder="1" applyAlignment="1">
      <alignment horizontal="center"/>
    </xf>
    <xf numFmtId="49" fontId="7" fillId="0" borderId="52" xfId="39" applyNumberFormat="1" applyFont="1" applyFill="1" applyBorder="1" applyAlignment="1">
      <alignment horizontal="center"/>
    </xf>
    <xf numFmtId="49" fontId="7" fillId="0" borderId="86" xfId="39" applyNumberFormat="1" applyFont="1" applyFill="1" applyBorder="1" applyAlignment="1">
      <alignment horizontal="center"/>
    </xf>
    <xf numFmtId="49" fontId="8" fillId="0" borderId="86" xfId="39" applyNumberFormat="1" applyFont="1" applyFill="1" applyBorder="1" applyAlignment="1">
      <alignment horizontal="center"/>
    </xf>
    <xf numFmtId="49" fontId="8" fillId="0" borderId="69" xfId="39" applyNumberFormat="1" applyFont="1" applyFill="1" applyBorder="1" applyAlignment="1">
      <alignment horizontal="center"/>
    </xf>
    <xf numFmtId="0" fontId="7" fillId="0" borderId="69" xfId="49" applyFont="1" applyFill="1" applyBorder="1" applyAlignment="1">
      <alignment horizontal="centerContinuous"/>
      <protection/>
    </xf>
    <xf numFmtId="0" fontId="7" fillId="0" borderId="92" xfId="49" applyFont="1" applyFill="1" applyBorder="1" applyAlignment="1">
      <alignment horizontal="centerContinuous"/>
      <protection/>
    </xf>
    <xf numFmtId="0" fontId="7" fillId="0" borderId="95" xfId="49" applyFont="1" applyFill="1" applyBorder="1" applyAlignment="1">
      <alignment horizontal="centerContinuous"/>
      <protection/>
    </xf>
    <xf numFmtId="0" fontId="7" fillId="0" borderId="98" xfId="49" applyFont="1" applyFill="1" applyBorder="1" applyAlignment="1">
      <alignment horizontal="center"/>
      <protection/>
    </xf>
    <xf numFmtId="0" fontId="7" fillId="0" borderId="95" xfId="49" applyFont="1" applyFill="1" applyBorder="1" applyAlignment="1">
      <alignment horizontal="center"/>
      <protection/>
    </xf>
    <xf numFmtId="0" fontId="7" fillId="0" borderId="92" xfId="49" applyFont="1" applyFill="1" applyBorder="1" applyAlignment="1">
      <alignment horizontal="center"/>
      <protection/>
    </xf>
    <xf numFmtId="0" fontId="7" fillId="0" borderId="93" xfId="49" applyFont="1" applyFill="1" applyBorder="1" applyAlignment="1">
      <alignment horizontal="center"/>
      <protection/>
    </xf>
    <xf numFmtId="0" fontId="7" fillId="0" borderId="67" xfId="49" applyFont="1" applyFill="1" applyBorder="1" applyAlignment="1">
      <alignment horizontal="centerContinuous"/>
      <protection/>
    </xf>
    <xf numFmtId="49" fontId="7" fillId="0" borderId="69" xfId="49" applyNumberFormat="1" applyFont="1" applyFill="1" applyBorder="1" applyAlignment="1">
      <alignment horizontal="center"/>
      <protection/>
    </xf>
    <xf numFmtId="215" fontId="7" fillId="0" borderId="118" xfId="34" applyNumberFormat="1" applyFont="1" applyFill="1" applyBorder="1" applyAlignment="1">
      <alignment horizontal="right"/>
    </xf>
    <xf numFmtId="215" fontId="7" fillId="0" borderId="92" xfId="34" applyNumberFormat="1" applyFont="1" applyFill="1" applyBorder="1" applyAlignment="1">
      <alignment horizontal="right"/>
    </xf>
    <xf numFmtId="215" fontId="7" fillId="0" borderId="12" xfId="34" applyNumberFormat="1" applyFont="1" applyFill="1" applyBorder="1" applyAlignment="1">
      <alignment horizontal="right"/>
    </xf>
    <xf numFmtId="215" fontId="7" fillId="0" borderId="69" xfId="34" applyNumberFormat="1" applyFont="1" applyFill="1" applyBorder="1" applyAlignment="1">
      <alignment horizontal="center"/>
    </xf>
    <xf numFmtId="215" fontId="7" fillId="0" borderId="69" xfId="34" applyNumberFormat="1" applyFont="1" applyFill="1" applyBorder="1" applyAlignment="1">
      <alignment horizontal="right"/>
    </xf>
    <xf numFmtId="215" fontId="7" fillId="0" borderId="81" xfId="34" applyNumberFormat="1" applyFont="1" applyFill="1" applyBorder="1" applyAlignment="1">
      <alignment horizontal="right"/>
    </xf>
    <xf numFmtId="43" fontId="7" fillId="0" borderId="83" xfId="34" applyNumberFormat="1" applyFont="1" applyFill="1" applyBorder="1" applyAlignment="1">
      <alignment horizontal="right"/>
    </xf>
    <xf numFmtId="0" fontId="7" fillId="0" borderId="119" xfId="49" applyFont="1" applyFill="1" applyBorder="1" applyAlignment="1">
      <alignment horizontal="centerContinuous"/>
      <protection/>
    </xf>
    <xf numFmtId="0" fontId="7" fillId="0" borderId="97" xfId="49" applyFont="1" applyFill="1" applyBorder="1" applyAlignment="1">
      <alignment horizontal="left"/>
      <protection/>
    </xf>
    <xf numFmtId="0" fontId="7" fillId="0" borderId="87" xfId="49" applyFont="1" applyFill="1" applyBorder="1" applyAlignment="1">
      <alignment horizontal="centerContinuous"/>
      <protection/>
    </xf>
    <xf numFmtId="0" fontId="7" fillId="0" borderId="89" xfId="49" applyFont="1" applyFill="1" applyBorder="1" applyAlignment="1">
      <alignment horizontal="left"/>
      <protection/>
    </xf>
    <xf numFmtId="43" fontId="7" fillId="0" borderId="69" xfId="34" applyNumberFormat="1" applyFont="1" applyFill="1" applyBorder="1" applyAlignment="1">
      <alignment horizontal="right"/>
    </xf>
    <xf numFmtId="0" fontId="5" fillId="0" borderId="112" xfId="49" applyFont="1" applyFill="1" applyBorder="1">
      <alignment/>
      <protection/>
    </xf>
    <xf numFmtId="4" fontId="5" fillId="0" borderId="69" xfId="34" applyNumberFormat="1" applyFont="1" applyFill="1" applyBorder="1" applyAlignment="1">
      <alignment horizontal="center"/>
    </xf>
    <xf numFmtId="217" fontId="5" fillId="0" borderId="69" xfId="34" applyNumberFormat="1" applyFont="1" applyFill="1" applyBorder="1" applyAlignment="1">
      <alignment horizontal="right"/>
    </xf>
    <xf numFmtId="217" fontId="5" fillId="0" borderId="81" xfId="34" applyNumberFormat="1" applyFont="1" applyFill="1" applyBorder="1" applyAlignment="1">
      <alignment horizontal="center"/>
    </xf>
    <xf numFmtId="4" fontId="5" fillId="0" borderId="69" xfId="34" applyNumberFormat="1" applyFont="1" applyFill="1" applyBorder="1" applyAlignment="1">
      <alignment horizontal="right"/>
    </xf>
    <xf numFmtId="4" fontId="5" fillId="0" borderId="82" xfId="34" applyNumberFormat="1" applyFont="1" applyFill="1" applyBorder="1" applyAlignment="1">
      <alignment horizontal="center"/>
    </xf>
    <xf numFmtId="49" fontId="5" fillId="0" borderId="81" xfId="39" applyNumberFormat="1" applyFont="1" applyFill="1" applyBorder="1" applyAlignment="1">
      <alignment horizontal="center"/>
    </xf>
    <xf numFmtId="194" fontId="5" fillId="0" borderId="69" xfId="39" applyNumberFormat="1" applyFont="1" applyFill="1" applyBorder="1" applyAlignment="1">
      <alignment horizontal="center"/>
    </xf>
    <xf numFmtId="2" fontId="5" fillId="0" borderId="69" xfId="39" applyNumberFormat="1" applyFont="1" applyFill="1" applyBorder="1" applyAlignment="1">
      <alignment horizontal="center"/>
    </xf>
    <xf numFmtId="2" fontId="5" fillId="0" borderId="112" xfId="39" applyNumberFormat="1" applyFont="1" applyFill="1" applyBorder="1" applyAlignment="1">
      <alignment horizontal="center"/>
    </xf>
    <xf numFmtId="49" fontId="5" fillId="0" borderId="69" xfId="39" applyNumberFormat="1" applyFont="1" applyFill="1" applyBorder="1" applyAlignment="1">
      <alignment horizontal="center"/>
    </xf>
    <xf numFmtId="0" fontId="5" fillId="0" borderId="53" xfId="49" applyFont="1" applyFill="1" applyBorder="1">
      <alignment/>
      <protection/>
    </xf>
    <xf numFmtId="2" fontId="5" fillId="0" borderId="52" xfId="39" applyNumberFormat="1" applyFont="1" applyFill="1" applyBorder="1" applyAlignment="1">
      <alignment horizontal="center"/>
    </xf>
    <xf numFmtId="2" fontId="5" fillId="0" borderId="0" xfId="34" applyNumberFormat="1" applyFont="1" applyFill="1" applyBorder="1" applyAlignment="1">
      <alignment horizontal="center"/>
    </xf>
    <xf numFmtId="0" fontId="5" fillId="0" borderId="52" xfId="49" applyFont="1" applyFill="1" applyBorder="1">
      <alignment/>
      <protection/>
    </xf>
    <xf numFmtId="0" fontId="5" fillId="0" borderId="69" xfId="49" applyFont="1" applyFill="1" applyBorder="1">
      <alignment/>
      <protection/>
    </xf>
    <xf numFmtId="215" fontId="5" fillId="0" borderId="81" xfId="34" applyNumberFormat="1" applyFont="1" applyFill="1" applyBorder="1" applyAlignment="1">
      <alignment/>
    </xf>
    <xf numFmtId="192" fontId="5" fillId="0" borderId="81" xfId="34" applyNumberFormat="1" applyFont="1" applyFill="1" applyBorder="1" applyAlignment="1">
      <alignment/>
    </xf>
    <xf numFmtId="215" fontId="5" fillId="0" borderId="82" xfId="34" applyNumberFormat="1" applyFont="1" applyFill="1" applyBorder="1" applyAlignment="1">
      <alignment/>
    </xf>
    <xf numFmtId="4" fontId="5" fillId="0" borderId="83" xfId="34" applyNumberFormat="1" applyFont="1" applyFill="1" applyBorder="1" applyAlignment="1">
      <alignment horizontal="right"/>
    </xf>
    <xf numFmtId="2" fontId="5" fillId="0" borderId="81" xfId="39" applyNumberFormat="1" applyFont="1" applyFill="1" applyBorder="1" applyAlignment="1">
      <alignment horizontal="center"/>
    </xf>
    <xf numFmtId="215" fontId="5" fillId="0" borderId="112" xfId="49" applyNumberFormat="1" applyFont="1" applyFill="1" applyBorder="1">
      <alignment/>
      <protection/>
    </xf>
    <xf numFmtId="2" fontId="5" fillId="0" borderId="68" xfId="39" applyNumberFormat="1" applyFont="1" applyFill="1" applyBorder="1" applyAlignment="1">
      <alignment horizontal="center"/>
    </xf>
    <xf numFmtId="194" fontId="5" fillId="0" borderId="81" xfId="39" applyNumberFormat="1" applyFont="1" applyFill="1" applyBorder="1" applyAlignment="1">
      <alignment horizontal="center"/>
    </xf>
    <xf numFmtId="2" fontId="5" fillId="0" borderId="74" xfId="39" applyNumberFormat="1" applyFont="1" applyFill="1" applyBorder="1" applyAlignment="1">
      <alignment horizontal="center"/>
    </xf>
    <xf numFmtId="217" fontId="5" fillId="0" borderId="81" xfId="34" applyNumberFormat="1" applyFont="1" applyFill="1" applyBorder="1" applyAlignment="1">
      <alignment horizontal="right"/>
    </xf>
    <xf numFmtId="43" fontId="5" fillId="0" borderId="83" xfId="34" applyNumberFormat="1" applyFont="1" applyFill="1" applyBorder="1" applyAlignment="1">
      <alignment horizontal="right"/>
    </xf>
    <xf numFmtId="215" fontId="5" fillId="0" borderId="69" xfId="34" applyNumberFormat="1" applyFont="1" applyFill="1" applyBorder="1" applyAlignment="1">
      <alignment horizontal="center"/>
    </xf>
    <xf numFmtId="43" fontId="5" fillId="0" borderId="69" xfId="34" applyNumberFormat="1" applyFont="1" applyFill="1" applyBorder="1" applyAlignment="1">
      <alignment horizontal="right"/>
    </xf>
    <xf numFmtId="215" fontId="5" fillId="0" borderId="81" xfId="34" applyNumberFormat="1" applyFont="1" applyFill="1" applyBorder="1" applyAlignment="1">
      <alignment horizontal="right"/>
    </xf>
    <xf numFmtId="215" fontId="6" fillId="0" borderId="0" xfId="34" applyNumberFormat="1" applyFont="1" applyFill="1" applyBorder="1" applyAlignment="1">
      <alignment/>
    </xf>
    <xf numFmtId="215" fontId="5" fillId="0" borderId="0" xfId="34" applyNumberFormat="1" applyFont="1" applyFill="1" applyBorder="1" applyAlignment="1">
      <alignment/>
    </xf>
    <xf numFmtId="4" fontId="5" fillId="0" borderId="0" xfId="34" applyNumberFormat="1" applyFont="1" applyFill="1" applyBorder="1" applyAlignment="1">
      <alignment horizontal="right"/>
    </xf>
    <xf numFmtId="4" fontId="10" fillId="0" borderId="0" xfId="34" applyNumberFormat="1" applyFont="1" applyFill="1" applyBorder="1" applyAlignment="1">
      <alignment horizontal="right"/>
    </xf>
    <xf numFmtId="4" fontId="6" fillId="0" borderId="0" xfId="34" applyNumberFormat="1" applyFont="1" applyFill="1" applyBorder="1" applyAlignment="1">
      <alignment horizontal="right"/>
    </xf>
    <xf numFmtId="2" fontId="6" fillId="0" borderId="0" xfId="34" applyNumberFormat="1" applyFont="1" applyFill="1" applyBorder="1" applyAlignment="1">
      <alignment horizontal="center"/>
    </xf>
    <xf numFmtId="2" fontId="6" fillId="0" borderId="0" xfId="39" applyNumberFormat="1" applyFont="1" applyFill="1" applyBorder="1" applyAlignment="1">
      <alignment horizontal="center"/>
    </xf>
    <xf numFmtId="49" fontId="6" fillId="0" borderId="0" xfId="3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52" xfId="49" applyFont="1" applyFill="1" applyBorder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6" fillId="33" borderId="0" xfId="49" applyFont="1" applyFill="1" applyAlignment="1">
      <alignment horizontal="left"/>
      <protection/>
    </xf>
    <xf numFmtId="0" fontId="2" fillId="34" borderId="0" xfId="49" applyFont="1" applyFill="1">
      <alignment/>
      <protection/>
    </xf>
    <xf numFmtId="0" fontId="5" fillId="34" borderId="52" xfId="49" applyFont="1" applyFill="1" applyBorder="1" applyAlignment="1">
      <alignment horizontal="left"/>
      <protection/>
    </xf>
    <xf numFmtId="0" fontId="5" fillId="13" borderId="53" xfId="49" applyFont="1" applyFill="1" applyBorder="1">
      <alignment/>
      <protection/>
    </xf>
    <xf numFmtId="2" fontId="5" fillId="13" borderId="52" xfId="34" applyNumberFormat="1" applyFont="1" applyFill="1" applyBorder="1" applyAlignment="1">
      <alignment horizontal="center"/>
    </xf>
    <xf numFmtId="0" fontId="2" fillId="13" borderId="0" xfId="49" applyFont="1" applyFill="1">
      <alignment/>
      <protection/>
    </xf>
    <xf numFmtId="2" fontId="5" fillId="13" borderId="86" xfId="34" applyNumberFormat="1" applyFont="1" applyFill="1" applyBorder="1" applyAlignment="1">
      <alignment horizontal="center"/>
    </xf>
    <xf numFmtId="0" fontId="5" fillId="13" borderId="89" xfId="49" applyFont="1" applyFill="1" applyBorder="1">
      <alignment/>
      <protection/>
    </xf>
    <xf numFmtId="0" fontId="6" fillId="16" borderId="95" xfId="49" applyFont="1" applyFill="1" applyBorder="1" applyAlignment="1">
      <alignment horizontal="left"/>
      <protection/>
    </xf>
    <xf numFmtId="0" fontId="8" fillId="0" borderId="0" xfId="49" applyFont="1" applyFill="1" applyAlignment="1">
      <alignment horizontal="centerContinuous"/>
      <protection/>
    </xf>
    <xf numFmtId="0" fontId="8" fillId="0" borderId="0" xfId="49" applyFont="1" applyFill="1">
      <alignment/>
      <protection/>
    </xf>
    <xf numFmtId="0" fontId="6" fillId="0" borderId="0" xfId="49" applyFont="1" applyFill="1" applyAlignment="1">
      <alignment/>
      <protection/>
    </xf>
    <xf numFmtId="0" fontId="1" fillId="16" borderId="0" xfId="49" applyFont="1" applyFill="1">
      <alignment/>
      <protection/>
    </xf>
    <xf numFmtId="0" fontId="6" fillId="16" borderId="69" xfId="49" applyFont="1" applyFill="1" applyBorder="1" applyAlignment="1">
      <alignment horizontal="left"/>
      <protection/>
    </xf>
    <xf numFmtId="0" fontId="6" fillId="16" borderId="69" xfId="49" applyFont="1" applyFill="1" applyBorder="1" applyAlignment="1">
      <alignment horizontal="centerContinuous"/>
      <protection/>
    </xf>
    <xf numFmtId="0" fontId="6" fillId="16" borderId="69" xfId="49" applyFont="1" applyFill="1" applyBorder="1" applyAlignment="1">
      <alignment horizontal="center"/>
      <protection/>
    </xf>
    <xf numFmtId="0" fontId="8" fillId="34" borderId="69" xfId="49" applyFont="1" applyFill="1" applyBorder="1" applyAlignment="1">
      <alignment horizontal="center" vertical="center" wrapText="1"/>
      <protection/>
    </xf>
    <xf numFmtId="0" fontId="6" fillId="16" borderId="81" xfId="49" applyFont="1" applyFill="1" applyBorder="1" applyAlignment="1">
      <alignment horizontal="centerContinuous"/>
      <protection/>
    </xf>
    <xf numFmtId="215" fontId="6" fillId="16" borderId="69" xfId="49" applyNumberFormat="1" applyFont="1" applyFill="1" applyBorder="1" applyAlignment="1">
      <alignment horizontal="centerContinuous"/>
      <protection/>
    </xf>
    <xf numFmtId="215" fontId="6" fillId="16" borderId="69" xfId="49" applyNumberFormat="1" applyFont="1" applyFill="1" applyBorder="1" applyAlignment="1">
      <alignment horizontal="right"/>
      <protection/>
    </xf>
    <xf numFmtId="1" fontId="5" fillId="0" borderId="69" xfId="39" applyNumberFormat="1" applyFont="1" applyFill="1" applyBorder="1" applyAlignment="1">
      <alignment horizontal="center"/>
    </xf>
    <xf numFmtId="0" fontId="5" fillId="33" borderId="86" xfId="49" applyFont="1" applyFill="1" applyBorder="1" applyAlignment="1">
      <alignment horizontal="center" vertical="center"/>
      <protection/>
    </xf>
    <xf numFmtId="0" fontId="5" fillId="33" borderId="52" xfId="49" applyFont="1" applyFill="1" applyBorder="1" applyAlignment="1">
      <alignment horizontal="center" vertical="center"/>
      <protection/>
    </xf>
    <xf numFmtId="0" fontId="6" fillId="33" borderId="0" xfId="49" applyFont="1" applyFill="1" applyAlignment="1">
      <alignment/>
      <protection/>
    </xf>
    <xf numFmtId="0" fontId="2" fillId="33" borderId="0" xfId="49" applyFont="1" applyFill="1">
      <alignment/>
      <protection/>
    </xf>
    <xf numFmtId="0" fontId="4" fillId="0" borderId="0" xfId="49" applyFont="1" applyFill="1" applyAlignment="1">
      <alignment/>
      <protection/>
    </xf>
    <xf numFmtId="0" fontId="8" fillId="0" borderId="0" xfId="49" applyFont="1" applyFill="1" applyAlignment="1">
      <alignment/>
      <protection/>
    </xf>
    <xf numFmtId="0" fontId="6" fillId="16" borderId="0" xfId="49" applyFont="1" applyFill="1" applyBorder="1" applyAlignment="1">
      <alignment horizontal="left"/>
      <protection/>
    </xf>
    <xf numFmtId="0" fontId="8" fillId="16" borderId="0" xfId="49" applyFont="1" applyFill="1" applyBorder="1" applyAlignment="1">
      <alignment horizontal="left"/>
      <protection/>
    </xf>
    <xf numFmtId="4" fontId="5" fillId="0" borderId="74" xfId="34" applyNumberFormat="1" applyFont="1" applyFill="1" applyBorder="1" applyAlignment="1">
      <alignment horizontal="right"/>
    </xf>
    <xf numFmtId="0" fontId="5" fillId="13" borderId="120" xfId="49" applyFont="1" applyFill="1" applyBorder="1">
      <alignment/>
      <protection/>
    </xf>
    <xf numFmtId="215" fontId="5" fillId="13" borderId="121" xfId="34" applyNumberFormat="1" applyFont="1" applyFill="1" applyBorder="1" applyAlignment="1">
      <alignment/>
    </xf>
    <xf numFmtId="192" fontId="5" fillId="13" borderId="121" xfId="34" applyNumberFormat="1" applyFont="1" applyFill="1" applyBorder="1" applyAlignment="1">
      <alignment/>
    </xf>
    <xf numFmtId="215" fontId="5" fillId="13" borderId="122" xfId="34" applyNumberFormat="1" applyFont="1" applyFill="1" applyBorder="1" applyAlignment="1">
      <alignment/>
    </xf>
    <xf numFmtId="4" fontId="5" fillId="13" borderId="123" xfId="34" applyNumberFormat="1" applyFont="1" applyFill="1" applyBorder="1" applyAlignment="1">
      <alignment horizontal="right"/>
    </xf>
    <xf numFmtId="217" fontId="5" fillId="13" borderId="120" xfId="34" applyNumberFormat="1" applyFont="1" applyFill="1" applyBorder="1" applyAlignment="1">
      <alignment horizontal="right"/>
    </xf>
    <xf numFmtId="4" fontId="5" fillId="13" borderId="120" xfId="34" applyNumberFormat="1" applyFont="1" applyFill="1" applyBorder="1" applyAlignment="1">
      <alignment horizontal="right"/>
    </xf>
    <xf numFmtId="2" fontId="5" fillId="13" borderId="121" xfId="34" applyNumberFormat="1" applyFont="1" applyFill="1" applyBorder="1" applyAlignment="1">
      <alignment horizontal="center"/>
    </xf>
    <xf numFmtId="194" fontId="5" fillId="13" borderId="121" xfId="34" applyNumberFormat="1" applyFont="1" applyFill="1" applyBorder="1" applyAlignment="1">
      <alignment horizontal="center"/>
    </xf>
    <xf numFmtId="2" fontId="5" fillId="13" borderId="124" xfId="34" applyNumberFormat="1" applyFont="1" applyFill="1" applyBorder="1" applyAlignment="1">
      <alignment horizontal="center"/>
    </xf>
    <xf numFmtId="1" fontId="5" fillId="13" borderId="120" xfId="34" applyNumberFormat="1" applyFont="1" applyFill="1" applyBorder="1" applyAlignment="1">
      <alignment horizontal="center"/>
    </xf>
    <xf numFmtId="2" fontId="5" fillId="13" borderId="120" xfId="34" applyNumberFormat="1" applyFont="1" applyFill="1" applyBorder="1" applyAlignment="1">
      <alignment horizontal="center"/>
    </xf>
    <xf numFmtId="2" fontId="8" fillId="13" borderId="124" xfId="34" applyNumberFormat="1" applyFont="1" applyFill="1" applyBorder="1" applyAlignment="1">
      <alignment horizontal="center"/>
    </xf>
    <xf numFmtId="49" fontId="5" fillId="13" borderId="120" xfId="49" applyNumberFormat="1" applyFont="1" applyFill="1" applyBorder="1" applyAlignment="1">
      <alignment horizontal="center"/>
      <protection/>
    </xf>
    <xf numFmtId="0" fontId="5" fillId="0" borderId="125" xfId="49" applyFont="1" applyFill="1" applyBorder="1">
      <alignment/>
      <protection/>
    </xf>
    <xf numFmtId="215" fontId="5" fillId="0" borderId="126" xfId="34" applyNumberFormat="1" applyFont="1" applyFill="1" applyBorder="1" applyAlignment="1">
      <alignment/>
    </xf>
    <xf numFmtId="192" fontId="5" fillId="0" borderId="126" xfId="34" applyNumberFormat="1" applyFont="1" applyFill="1" applyBorder="1" applyAlignment="1">
      <alignment/>
    </xf>
    <xf numFmtId="215" fontId="5" fillId="0" borderId="127" xfId="34" applyNumberFormat="1" applyFont="1" applyFill="1" applyBorder="1" applyAlignment="1">
      <alignment/>
    </xf>
    <xf numFmtId="4" fontId="5" fillId="0" borderId="128" xfId="34" applyNumberFormat="1" applyFont="1" applyFill="1" applyBorder="1" applyAlignment="1">
      <alignment horizontal="right"/>
    </xf>
    <xf numFmtId="4" fontId="5" fillId="0" borderId="125" xfId="34" applyNumberFormat="1" applyFont="1" applyFill="1" applyBorder="1" applyAlignment="1">
      <alignment horizontal="center"/>
    </xf>
    <xf numFmtId="217" fontId="5" fillId="0" borderId="125" xfId="34" applyNumberFormat="1" applyFont="1" applyFill="1" applyBorder="1" applyAlignment="1">
      <alignment horizontal="right"/>
    </xf>
    <xf numFmtId="217" fontId="5" fillId="0" borderId="126" xfId="34" applyNumberFormat="1" applyFont="1" applyFill="1" applyBorder="1" applyAlignment="1">
      <alignment horizontal="center"/>
    </xf>
    <xf numFmtId="4" fontId="5" fillId="0" borderId="125" xfId="34" applyNumberFormat="1" applyFont="1" applyFill="1" applyBorder="1" applyAlignment="1">
      <alignment horizontal="right"/>
    </xf>
    <xf numFmtId="4" fontId="5" fillId="0" borderId="127" xfId="34" applyNumberFormat="1" applyFont="1" applyFill="1" applyBorder="1" applyAlignment="1">
      <alignment horizontal="center"/>
    </xf>
    <xf numFmtId="49" fontId="5" fillId="0" borderId="126" xfId="39" applyNumberFormat="1" applyFont="1" applyFill="1" applyBorder="1" applyAlignment="1">
      <alignment horizontal="center"/>
    </xf>
    <xf numFmtId="194" fontId="5" fillId="0" borderId="125" xfId="39" applyNumberFormat="1" applyFont="1" applyFill="1" applyBorder="1" applyAlignment="1">
      <alignment horizontal="center"/>
    </xf>
    <xf numFmtId="2" fontId="5" fillId="0" borderId="129" xfId="39" applyNumberFormat="1" applyFont="1" applyFill="1" applyBorder="1" applyAlignment="1">
      <alignment horizontal="center"/>
    </xf>
    <xf numFmtId="1" fontId="5" fillId="0" borderId="125" xfId="39" applyNumberFormat="1" applyFont="1" applyFill="1" applyBorder="1" applyAlignment="1">
      <alignment horizontal="center"/>
    </xf>
    <xf numFmtId="2" fontId="5" fillId="0" borderId="125" xfId="34" applyNumberFormat="1" applyFont="1" applyFill="1" applyBorder="1" applyAlignment="1">
      <alignment horizontal="center"/>
    </xf>
    <xf numFmtId="2" fontId="5" fillId="0" borderId="130" xfId="34" applyNumberFormat="1" applyFont="1" applyFill="1" applyBorder="1" applyAlignment="1">
      <alignment horizontal="center"/>
    </xf>
    <xf numFmtId="2" fontId="8" fillId="0" borderId="130" xfId="34" applyNumberFormat="1" applyFont="1" applyFill="1" applyBorder="1" applyAlignment="1">
      <alignment horizontal="center"/>
    </xf>
    <xf numFmtId="49" fontId="5" fillId="0" borderId="125" xfId="39" applyNumberFormat="1" applyFont="1" applyFill="1" applyBorder="1" applyAlignment="1">
      <alignment horizontal="center"/>
    </xf>
    <xf numFmtId="0" fontId="6" fillId="0" borderId="0" xfId="49" applyFont="1" applyFill="1" applyAlignment="1">
      <alignment horizontal="center"/>
      <protection/>
    </xf>
    <xf numFmtId="0" fontId="6" fillId="16" borderId="69" xfId="49" applyFont="1" applyFill="1" applyBorder="1" applyAlignment="1">
      <alignment horizontal="center" vertical="center"/>
      <protection/>
    </xf>
    <xf numFmtId="0" fontId="6" fillId="16" borderId="86" xfId="49" applyFont="1" applyFill="1" applyBorder="1" applyAlignment="1">
      <alignment horizontal="center" vertical="center"/>
      <protection/>
    </xf>
    <xf numFmtId="0" fontId="6" fillId="16" borderId="52" xfId="49" applyFont="1" applyFill="1" applyBorder="1" applyAlignment="1">
      <alignment horizontal="center" vertical="center"/>
      <protection/>
    </xf>
    <xf numFmtId="2" fontId="5" fillId="0" borderId="69" xfId="34" applyNumberFormat="1" applyFont="1" applyFill="1" applyBorder="1" applyAlignment="1">
      <alignment horizontal="center"/>
    </xf>
    <xf numFmtId="2" fontId="5" fillId="0" borderId="68" xfId="34" applyNumberFormat="1" applyFont="1" applyFill="1" applyBorder="1" applyAlignment="1">
      <alignment horizontal="center"/>
    </xf>
    <xf numFmtId="0" fontId="6" fillId="16" borderId="131" xfId="49" applyFont="1" applyFill="1" applyBorder="1" applyAlignment="1">
      <alignment horizontal="left"/>
      <protection/>
    </xf>
    <xf numFmtId="215" fontId="6" fillId="16" borderId="131" xfId="49" applyNumberFormat="1" applyFont="1" applyFill="1" applyBorder="1" applyAlignment="1">
      <alignment horizontal="centerContinuous"/>
      <protection/>
    </xf>
    <xf numFmtId="215" fontId="6" fillId="16" borderId="131" xfId="49" applyNumberFormat="1" applyFont="1" applyFill="1" applyBorder="1" applyAlignment="1">
      <alignment horizontal="right"/>
      <protection/>
    </xf>
    <xf numFmtId="43" fontId="6" fillId="16" borderId="132" xfId="39" applyFont="1" applyFill="1" applyBorder="1" applyAlignment="1">
      <alignment horizontal="right"/>
    </xf>
    <xf numFmtId="0" fontId="6" fillId="16" borderId="131" xfId="49" applyFont="1" applyFill="1" applyBorder="1" applyAlignment="1">
      <alignment horizontal="centerContinuous"/>
      <protection/>
    </xf>
    <xf numFmtId="43" fontId="6" fillId="16" borderId="131" xfId="39" applyFont="1" applyFill="1" applyBorder="1" applyAlignment="1">
      <alignment horizontal="center"/>
    </xf>
    <xf numFmtId="0" fontId="6" fillId="16" borderId="125" xfId="49" applyFont="1" applyFill="1" applyBorder="1" applyAlignment="1">
      <alignment horizontal="left"/>
      <protection/>
    </xf>
    <xf numFmtId="215" fontId="6" fillId="16" borderId="125" xfId="49" applyNumberFormat="1" applyFont="1" applyFill="1" applyBorder="1" applyAlignment="1">
      <alignment horizontal="centerContinuous"/>
      <protection/>
    </xf>
    <xf numFmtId="215" fontId="6" fillId="16" borderId="125" xfId="49" applyNumberFormat="1" applyFont="1" applyFill="1" applyBorder="1" applyAlignment="1">
      <alignment horizontal="right"/>
      <protection/>
    </xf>
    <xf numFmtId="0" fontId="6" fillId="16" borderId="126" xfId="49" applyFont="1" applyFill="1" applyBorder="1" applyAlignment="1">
      <alignment horizontal="centerContinuous"/>
      <protection/>
    </xf>
    <xf numFmtId="0" fontId="6" fillId="16" borderId="125" xfId="49" applyFont="1" applyFill="1" applyBorder="1" applyAlignment="1">
      <alignment horizontal="centerContinuous"/>
      <protection/>
    </xf>
    <xf numFmtId="0" fontId="6" fillId="16" borderId="125" xfId="49" applyFont="1" applyFill="1" applyBorder="1" applyAlignment="1">
      <alignment horizontal="center"/>
      <protection/>
    </xf>
    <xf numFmtId="0" fontId="5" fillId="13" borderId="131" xfId="49" applyFont="1" applyFill="1" applyBorder="1">
      <alignment/>
      <protection/>
    </xf>
    <xf numFmtId="215" fontId="5" fillId="13" borderId="132" xfId="34" applyNumberFormat="1" applyFont="1" applyFill="1" applyBorder="1" applyAlignment="1">
      <alignment/>
    </xf>
    <xf numFmtId="192" fontId="5" fillId="13" borderId="132" xfId="34" applyNumberFormat="1" applyFont="1" applyFill="1" applyBorder="1" applyAlignment="1">
      <alignment/>
    </xf>
    <xf numFmtId="215" fontId="5" fillId="13" borderId="133" xfId="34" applyNumberFormat="1" applyFont="1" applyFill="1" applyBorder="1" applyAlignment="1">
      <alignment/>
    </xf>
    <xf numFmtId="4" fontId="5" fillId="13" borderId="134" xfId="34" applyNumberFormat="1" applyFont="1" applyFill="1" applyBorder="1" applyAlignment="1">
      <alignment horizontal="right"/>
    </xf>
    <xf numFmtId="4" fontId="5" fillId="13" borderId="131" xfId="34" applyNumberFormat="1" applyFont="1" applyFill="1" applyBorder="1" applyAlignment="1">
      <alignment horizontal="center"/>
    </xf>
    <xf numFmtId="217" fontId="5" fillId="13" borderId="131" xfId="34" applyNumberFormat="1" applyFont="1" applyFill="1" applyBorder="1" applyAlignment="1">
      <alignment horizontal="right"/>
    </xf>
    <xf numFmtId="4" fontId="5" fillId="13" borderId="131" xfId="34" applyNumberFormat="1" applyFont="1" applyFill="1" applyBorder="1" applyAlignment="1">
      <alignment horizontal="right"/>
    </xf>
    <xf numFmtId="2" fontId="5" fillId="13" borderId="135" xfId="34" applyNumberFormat="1" applyFont="1" applyFill="1" applyBorder="1" applyAlignment="1">
      <alignment horizontal="center"/>
    </xf>
    <xf numFmtId="194" fontId="5" fillId="13" borderId="132" xfId="34" applyNumberFormat="1" applyFont="1" applyFill="1" applyBorder="1" applyAlignment="1">
      <alignment horizontal="center"/>
    </xf>
    <xf numFmtId="2" fontId="5" fillId="13" borderId="136" xfId="34" applyNumberFormat="1" applyFont="1" applyFill="1" applyBorder="1" applyAlignment="1">
      <alignment horizontal="center"/>
    </xf>
    <xf numFmtId="1" fontId="5" fillId="13" borderId="131" xfId="34" applyNumberFormat="1" applyFont="1" applyFill="1" applyBorder="1" applyAlignment="1">
      <alignment horizontal="center"/>
    </xf>
    <xf numFmtId="2" fontId="8" fillId="13" borderId="132" xfId="34" applyNumberFormat="1" applyFont="1" applyFill="1" applyBorder="1" applyAlignment="1">
      <alignment horizontal="center"/>
    </xf>
    <xf numFmtId="49" fontId="5" fillId="13" borderId="131" xfId="49" applyNumberFormat="1" applyFont="1" applyFill="1" applyBorder="1" applyAlignment="1">
      <alignment horizontal="center"/>
      <protection/>
    </xf>
    <xf numFmtId="43" fontId="5" fillId="0" borderId="137" xfId="34" applyNumberFormat="1" applyFont="1" applyFill="1" applyBorder="1" applyAlignment="1">
      <alignment horizontal="right"/>
    </xf>
    <xf numFmtId="215" fontId="5" fillId="0" borderId="125" xfId="34" applyNumberFormat="1" applyFont="1" applyFill="1" applyBorder="1" applyAlignment="1">
      <alignment horizontal="center"/>
    </xf>
    <xf numFmtId="43" fontId="5" fillId="0" borderId="125" xfId="34" applyNumberFormat="1" applyFont="1" applyFill="1" applyBorder="1" applyAlignment="1">
      <alignment horizontal="right"/>
    </xf>
    <xf numFmtId="215" fontId="5" fillId="0" borderId="126" xfId="34" applyNumberFormat="1" applyFont="1" applyFill="1" applyBorder="1" applyAlignment="1">
      <alignment horizontal="right"/>
    </xf>
    <xf numFmtId="2" fontId="5" fillId="0" borderId="128" xfId="39" applyNumberFormat="1" applyFont="1" applyFill="1" applyBorder="1" applyAlignment="1">
      <alignment horizontal="center"/>
    </xf>
    <xf numFmtId="2" fontId="5" fillId="0" borderId="130" xfId="39" applyNumberFormat="1" applyFont="1" applyFill="1" applyBorder="1" applyAlignment="1">
      <alignment horizontal="center"/>
    </xf>
    <xf numFmtId="2" fontId="5" fillId="0" borderId="125" xfId="39" applyNumberFormat="1" applyFont="1" applyFill="1" applyBorder="1" applyAlignment="1">
      <alignment horizontal="center"/>
    </xf>
    <xf numFmtId="2" fontId="8" fillId="0" borderId="130" xfId="39" applyNumberFormat="1" applyFont="1" applyFill="1" applyBorder="1" applyAlignment="1">
      <alignment horizontal="center"/>
    </xf>
    <xf numFmtId="2" fontId="8" fillId="13" borderId="136" xfId="34" applyNumberFormat="1" applyFont="1" applyFill="1" applyBorder="1" applyAlignment="1">
      <alignment horizontal="center"/>
    </xf>
    <xf numFmtId="4" fontId="5" fillId="0" borderId="137" xfId="34" applyNumberFormat="1" applyFont="1" applyFill="1" applyBorder="1" applyAlignment="1">
      <alignment horizontal="right"/>
    </xf>
    <xf numFmtId="217" fontId="5" fillId="0" borderId="126" xfId="34" applyNumberFormat="1" applyFont="1" applyFill="1" applyBorder="1" applyAlignment="1">
      <alignment horizontal="right"/>
    </xf>
    <xf numFmtId="49" fontId="5" fillId="13" borderId="131" xfId="39" applyNumberFormat="1" applyFont="1" applyFill="1" applyBorder="1" applyAlignment="1">
      <alignment horizontal="center"/>
    </xf>
    <xf numFmtId="43" fontId="5" fillId="13" borderId="136" xfId="39" applyFont="1" applyFill="1" applyBorder="1" applyAlignment="1">
      <alignment horizontal="center"/>
    </xf>
    <xf numFmtId="2" fontId="5" fillId="0" borderId="126" xfId="39" applyNumberFormat="1" applyFont="1" applyFill="1" applyBorder="1" applyAlignment="1">
      <alignment horizontal="center"/>
    </xf>
    <xf numFmtId="194" fontId="5" fillId="0" borderId="126" xfId="39" applyNumberFormat="1" applyFont="1" applyFill="1" applyBorder="1" applyAlignment="1">
      <alignment horizontal="center"/>
    </xf>
    <xf numFmtId="4" fontId="5" fillId="13" borderId="135" xfId="34" applyNumberFormat="1" applyFont="1" applyFill="1" applyBorder="1" applyAlignment="1">
      <alignment horizontal="right"/>
    </xf>
    <xf numFmtId="2" fontId="5" fillId="13" borderId="132" xfId="34" applyNumberFormat="1" applyFont="1" applyFill="1" applyBorder="1" applyAlignment="1">
      <alignment horizontal="center"/>
    </xf>
    <xf numFmtId="0" fontId="5" fillId="13" borderId="86" xfId="49" applyFont="1" applyFill="1" applyBorder="1">
      <alignment/>
      <protection/>
    </xf>
    <xf numFmtId="215" fontId="5" fillId="0" borderId="52" xfId="49" applyNumberFormat="1" applyFont="1" applyFill="1" applyBorder="1">
      <alignment/>
      <protection/>
    </xf>
    <xf numFmtId="0" fontId="6" fillId="16" borderId="89" xfId="49" applyFont="1" applyFill="1" applyBorder="1" applyAlignment="1">
      <alignment horizontal="center"/>
      <protection/>
    </xf>
    <xf numFmtId="0" fontId="6" fillId="16" borderId="84" xfId="49" applyFont="1" applyFill="1" applyBorder="1" applyAlignment="1">
      <alignment horizontal="left"/>
      <protection/>
    </xf>
    <xf numFmtId="0" fontId="8" fillId="16" borderId="84" xfId="49" applyFont="1" applyFill="1" applyBorder="1" applyAlignment="1">
      <alignment horizontal="left"/>
      <protection/>
    </xf>
    <xf numFmtId="49" fontId="6" fillId="16" borderId="88" xfId="49" applyNumberFormat="1" applyFont="1" applyFill="1" applyBorder="1" applyAlignment="1">
      <alignment horizontal="center"/>
      <protection/>
    </xf>
    <xf numFmtId="0" fontId="6" fillId="16" borderId="112" xfId="49" applyFont="1" applyFill="1" applyBorder="1" applyAlignment="1">
      <alignment horizontal="center"/>
      <protection/>
    </xf>
    <xf numFmtId="0" fontId="6" fillId="16" borderId="68" xfId="49" applyFont="1" applyFill="1" applyBorder="1" applyAlignment="1">
      <alignment horizontal="left"/>
      <protection/>
    </xf>
    <xf numFmtId="0" fontId="8" fillId="16" borderId="68" xfId="49" applyFont="1" applyFill="1" applyBorder="1" applyAlignment="1">
      <alignment horizontal="left"/>
      <protection/>
    </xf>
    <xf numFmtId="49" fontId="6" fillId="16" borderId="81" xfId="49" applyNumberFormat="1" applyFont="1" applyFill="1" applyBorder="1" applyAlignment="1">
      <alignment horizontal="center"/>
      <protection/>
    </xf>
    <xf numFmtId="0" fontId="6" fillId="16" borderId="53" xfId="49" applyFont="1" applyFill="1" applyBorder="1" applyAlignment="1">
      <alignment horizontal="center"/>
      <protection/>
    </xf>
    <xf numFmtId="49" fontId="6" fillId="16" borderId="51" xfId="49" applyNumberFormat="1" applyFont="1" applyFill="1" applyBorder="1" applyAlignment="1">
      <alignment horizontal="center"/>
      <protection/>
    </xf>
    <xf numFmtId="0" fontId="2" fillId="35" borderId="0" xfId="49" applyFont="1" applyFill="1">
      <alignment/>
      <protection/>
    </xf>
    <xf numFmtId="0" fontId="53" fillId="35" borderId="0" xfId="49" applyFont="1" applyFill="1">
      <alignment/>
      <protection/>
    </xf>
    <xf numFmtId="0" fontId="1" fillId="35" borderId="0" xfId="49" applyFont="1" applyFill="1">
      <alignment/>
      <protection/>
    </xf>
    <xf numFmtId="0" fontId="6" fillId="34" borderId="86" xfId="49" applyFont="1" applyFill="1" applyBorder="1" applyAlignment="1">
      <alignment horizontal="centerContinuous"/>
      <protection/>
    </xf>
    <xf numFmtId="0" fontId="6" fillId="34" borderId="52" xfId="49" applyFont="1" applyFill="1" applyBorder="1" applyAlignment="1">
      <alignment horizontal="centerContinuous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88" xfId="49" applyFont="1" applyFill="1" applyBorder="1" applyAlignment="1">
      <alignment horizontal="centerContinuous"/>
      <protection/>
    </xf>
    <xf numFmtId="0" fontId="6" fillId="34" borderId="87" xfId="49" applyFont="1" applyFill="1" applyBorder="1" applyAlignment="1">
      <alignment horizontal="centerContinuous"/>
      <protection/>
    </xf>
    <xf numFmtId="0" fontId="6" fillId="34" borderId="86" xfId="49" applyFont="1" applyFill="1" applyBorder="1" applyAlignment="1">
      <alignment horizontal="center"/>
      <protection/>
    </xf>
    <xf numFmtId="0" fontId="6" fillId="34" borderId="52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left"/>
      <protection/>
    </xf>
    <xf numFmtId="0" fontId="6" fillId="34" borderId="112" xfId="49" applyFont="1" applyFill="1" applyBorder="1" applyAlignment="1">
      <alignment horizontal="center" vertical="center"/>
      <protection/>
    </xf>
    <xf numFmtId="0" fontId="6" fillId="34" borderId="69" xfId="49" applyFont="1" applyFill="1" applyBorder="1" applyAlignment="1">
      <alignment horizontal="centerContinuous"/>
      <protection/>
    </xf>
    <xf numFmtId="0" fontId="6" fillId="34" borderId="69" xfId="49" applyFont="1" applyFill="1" applyBorder="1" applyAlignment="1">
      <alignment horizontal="center"/>
      <protection/>
    </xf>
    <xf numFmtId="0" fontId="6" fillId="34" borderId="69" xfId="49" applyFont="1" applyFill="1" applyBorder="1" applyAlignment="1">
      <alignment horizontal="left"/>
      <protection/>
    </xf>
    <xf numFmtId="0" fontId="6" fillId="34" borderId="68" xfId="49" applyFont="1" applyFill="1" applyBorder="1" applyAlignment="1">
      <alignment horizontal="left"/>
      <protection/>
    </xf>
    <xf numFmtId="0" fontId="6" fillId="34" borderId="81" xfId="49" applyFont="1" applyFill="1" applyBorder="1" applyAlignment="1">
      <alignment horizontal="centerContinuous"/>
      <protection/>
    </xf>
    <xf numFmtId="0" fontId="6" fillId="34" borderId="138" xfId="49" applyFont="1" applyFill="1" applyBorder="1" applyAlignment="1">
      <alignment horizontal="centerContinuous"/>
      <protection/>
    </xf>
    <xf numFmtId="0" fontId="6" fillId="34" borderId="87" xfId="49" applyFont="1" applyFill="1" applyBorder="1" applyAlignment="1">
      <alignment horizontal="center"/>
      <protection/>
    </xf>
    <xf numFmtId="0" fontId="6" fillId="34" borderId="102" xfId="49" applyFont="1" applyFill="1" applyBorder="1" applyAlignment="1">
      <alignment horizontal="centerContinuous"/>
      <protection/>
    </xf>
    <xf numFmtId="0" fontId="54" fillId="2" borderId="0" xfId="49" applyFont="1" applyFill="1">
      <alignment/>
      <protection/>
    </xf>
    <xf numFmtId="224" fontId="5" fillId="13" borderId="131" xfId="34" applyNumberFormat="1" applyFont="1" applyFill="1" applyBorder="1" applyAlignment="1">
      <alignment horizontal="right"/>
    </xf>
    <xf numFmtId="224" fontId="5" fillId="13" borderId="134" xfId="34" applyNumberFormat="1" applyFont="1" applyFill="1" applyBorder="1" applyAlignment="1">
      <alignment horizontal="right"/>
    </xf>
    <xf numFmtId="2" fontId="7" fillId="13" borderId="136" xfId="34" applyNumberFormat="1" applyFont="1" applyFill="1" applyBorder="1" applyAlignment="1">
      <alignment horizontal="center"/>
    </xf>
    <xf numFmtId="0" fontId="6" fillId="34" borderId="86" xfId="49" applyFont="1" applyFill="1" applyBorder="1" applyAlignment="1">
      <alignment horizontal="center" vertical="center"/>
      <protection/>
    </xf>
    <xf numFmtId="0" fontId="6" fillId="34" borderId="52" xfId="49" applyFont="1" applyFill="1" applyBorder="1" applyAlignment="1">
      <alignment horizontal="center" vertical="center"/>
      <protection/>
    </xf>
    <xf numFmtId="0" fontId="6" fillId="34" borderId="84" xfId="49" applyFont="1" applyFill="1" applyBorder="1" applyAlignment="1">
      <alignment horizontal="center"/>
      <protection/>
    </xf>
    <xf numFmtId="0" fontId="6" fillId="34" borderId="84" xfId="49" applyFont="1" applyFill="1" applyBorder="1" applyAlignment="1">
      <alignment horizontal="center" vertical="center"/>
      <protection/>
    </xf>
    <xf numFmtId="0" fontId="6" fillId="34" borderId="112" xfId="49" applyFont="1" applyFill="1" applyBorder="1" applyAlignment="1">
      <alignment horizontal="center"/>
      <protection/>
    </xf>
    <xf numFmtId="0" fontId="6" fillId="34" borderId="68" xfId="49" applyFont="1" applyFill="1" applyBorder="1" applyAlignment="1">
      <alignment horizontal="center"/>
      <protection/>
    </xf>
    <xf numFmtId="0" fontId="5" fillId="36" borderId="0" xfId="49" applyFont="1" applyFill="1" applyAlignment="1">
      <alignment horizontal="centerContinuous"/>
      <protection/>
    </xf>
    <xf numFmtId="0" fontId="5" fillId="36" borderId="0" xfId="49" applyFont="1" applyFill="1" applyAlignment="1">
      <alignment horizontal="center"/>
      <protection/>
    </xf>
    <xf numFmtId="0" fontId="6" fillId="34" borderId="11" xfId="49" applyFont="1" applyFill="1" applyBorder="1" applyAlignment="1">
      <alignment horizontal="centerContinuous"/>
      <protection/>
    </xf>
    <xf numFmtId="0" fontId="6" fillId="34" borderId="14" xfId="49" applyFont="1" applyFill="1" applyBorder="1" applyAlignment="1">
      <alignment horizontal="centerContinuous"/>
      <protection/>
    </xf>
    <xf numFmtId="0" fontId="6" fillId="34" borderId="67" xfId="49" applyFont="1" applyFill="1" applyBorder="1" applyAlignment="1">
      <alignment horizontal="centerContinuous"/>
      <protection/>
    </xf>
    <xf numFmtId="2" fontId="5" fillId="13" borderId="139" xfId="49" applyNumberFormat="1" applyFont="1" applyFill="1" applyBorder="1" applyAlignment="1">
      <alignment horizontal="center"/>
      <protection/>
    </xf>
    <xf numFmtId="2" fontId="5" fillId="13" borderId="140" xfId="49" applyNumberFormat="1" applyFont="1" applyFill="1" applyBorder="1" applyAlignment="1">
      <alignment horizontal="center"/>
      <protection/>
    </xf>
    <xf numFmtId="2" fontId="5" fillId="0" borderId="141" xfId="49" applyNumberFormat="1" applyFont="1" applyFill="1" applyBorder="1" applyAlignment="1">
      <alignment horizontal="center"/>
      <protection/>
    </xf>
    <xf numFmtId="2" fontId="5" fillId="0" borderId="67" xfId="49" applyNumberFormat="1" applyFont="1" applyFill="1" applyBorder="1" applyAlignment="1">
      <alignment horizontal="center"/>
      <protection/>
    </xf>
    <xf numFmtId="2" fontId="5" fillId="36" borderId="141" xfId="49" applyNumberFormat="1" applyFont="1" applyFill="1" applyBorder="1" applyAlignment="1">
      <alignment horizontal="center"/>
      <protection/>
    </xf>
    <xf numFmtId="2" fontId="5" fillId="36" borderId="67" xfId="49" applyNumberFormat="1" applyFont="1" applyFill="1" applyBorder="1" applyAlignment="1">
      <alignment horizontal="center"/>
      <protection/>
    </xf>
    <xf numFmtId="2" fontId="6" fillId="16" borderId="131" xfId="49" applyNumberFormat="1" applyFont="1" applyFill="1" applyBorder="1" applyAlignment="1">
      <alignment horizontal="right"/>
      <protection/>
    </xf>
    <xf numFmtId="0" fontId="55" fillId="0" borderId="0" xfId="49" applyFont="1" applyFill="1" applyAlignment="1">
      <alignment horizontal="left"/>
      <protection/>
    </xf>
    <xf numFmtId="4" fontId="5" fillId="13" borderId="142" xfId="34" applyNumberFormat="1" applyFont="1" applyFill="1" applyBorder="1" applyAlignment="1">
      <alignment horizontal="right"/>
    </xf>
    <xf numFmtId="4" fontId="5" fillId="13" borderId="120" xfId="34" applyNumberFormat="1" applyFont="1" applyFill="1" applyBorder="1" applyAlignment="1">
      <alignment horizontal="center"/>
    </xf>
    <xf numFmtId="2" fontId="5" fillId="13" borderId="123" xfId="34" applyNumberFormat="1" applyFont="1" applyFill="1" applyBorder="1" applyAlignment="1">
      <alignment horizontal="center"/>
    </xf>
    <xf numFmtId="0" fontId="2" fillId="35" borderId="68" xfId="49" applyFont="1" applyFill="1" applyBorder="1">
      <alignment/>
      <protection/>
    </xf>
    <xf numFmtId="3" fontId="55" fillId="0" borderId="0" xfId="34" applyNumberFormat="1" applyFont="1" applyFill="1" applyBorder="1" applyAlignment="1">
      <alignment horizontal="center"/>
    </xf>
    <xf numFmtId="47" fontId="55" fillId="0" borderId="0" xfId="34" applyNumberFormat="1" applyFont="1" applyFill="1" applyBorder="1" applyAlignment="1" quotePrefix="1">
      <alignment horizontal="right"/>
    </xf>
    <xf numFmtId="0" fontId="54" fillId="0" borderId="0" xfId="49" applyFont="1" applyFill="1">
      <alignment/>
      <protection/>
    </xf>
    <xf numFmtId="2" fontId="56" fillId="0" borderId="130" xfId="34" applyNumberFormat="1" applyFont="1" applyFill="1" applyBorder="1" applyAlignment="1">
      <alignment horizontal="center"/>
    </xf>
    <xf numFmtId="2" fontId="5" fillId="0" borderId="143" xfId="34" applyNumberFormat="1" applyFont="1" applyFill="1" applyBorder="1" applyAlignment="1">
      <alignment horizontal="center"/>
    </xf>
    <xf numFmtId="228" fontId="2" fillId="13" borderId="0" xfId="39" applyNumberFormat="1" applyFont="1" applyFill="1" applyAlignment="1">
      <alignment/>
    </xf>
    <xf numFmtId="0" fontId="2" fillId="0" borderId="0" xfId="48" applyFont="1">
      <alignment/>
      <protection/>
    </xf>
    <xf numFmtId="0" fontId="15" fillId="0" borderId="86" xfId="48" applyFont="1" applyFill="1" applyBorder="1" applyAlignment="1">
      <alignment horizontal="center"/>
      <protection/>
    </xf>
    <xf numFmtId="0" fontId="15" fillId="0" borderId="52" xfId="48" applyFont="1" applyFill="1" applyBorder="1" applyAlignment="1">
      <alignment horizontal="center"/>
      <protection/>
    </xf>
    <xf numFmtId="0" fontId="5" fillId="0" borderId="92" xfId="48" applyFont="1" applyBorder="1" applyAlignment="1">
      <alignment horizontal="center"/>
      <protection/>
    </xf>
    <xf numFmtId="0" fontId="5" fillId="0" borderId="95" xfId="48" applyFont="1" applyBorder="1" applyAlignment="1">
      <alignment horizontal="center"/>
      <protection/>
    </xf>
    <xf numFmtId="0" fontId="5" fillId="0" borderId="119" xfId="48" applyFont="1" applyBorder="1" applyAlignment="1">
      <alignment horizontal="center"/>
      <protection/>
    </xf>
    <xf numFmtId="0" fontId="5" fillId="0" borderId="97" xfId="48" applyFont="1" applyBorder="1" applyAlignment="1">
      <alignment horizontal="center"/>
      <protection/>
    </xf>
    <xf numFmtId="0" fontId="15" fillId="0" borderId="69" xfId="48" applyFont="1" applyFill="1" applyBorder="1" applyAlignment="1">
      <alignment horizontal="center"/>
      <protection/>
    </xf>
    <xf numFmtId="0" fontId="5" fillId="0" borderId="52" xfId="48" applyFont="1" applyBorder="1" applyAlignment="1">
      <alignment horizontal="left"/>
      <protection/>
    </xf>
    <xf numFmtId="0" fontId="5" fillId="0" borderId="52" xfId="48" applyFont="1" applyBorder="1" applyAlignment="1">
      <alignment horizontal="left" vertical="top"/>
      <protection/>
    </xf>
    <xf numFmtId="9" fontId="5" fillId="0" borderId="52" xfId="53" applyFont="1" applyBorder="1" applyAlignment="1">
      <alignment horizontal="center"/>
    </xf>
    <xf numFmtId="215" fontId="5" fillId="0" borderId="0" xfId="33" applyNumberFormat="1" applyFont="1" applyBorder="1" applyAlignment="1">
      <alignment/>
    </xf>
    <xf numFmtId="215" fontId="5" fillId="0" borderId="52" xfId="33" applyNumberFormat="1" applyFont="1" applyBorder="1" applyAlignment="1">
      <alignment/>
    </xf>
    <xf numFmtId="215" fontId="5" fillId="0" borderId="56" xfId="33" applyNumberFormat="1" applyFont="1" applyBorder="1" applyAlignment="1">
      <alignment/>
    </xf>
    <xf numFmtId="194" fontId="5" fillId="37" borderId="58" xfId="33" applyFont="1" applyFill="1" applyBorder="1" applyAlignment="1">
      <alignment/>
    </xf>
    <xf numFmtId="194" fontId="5" fillId="37" borderId="51" xfId="33" applyFont="1" applyFill="1" applyBorder="1" applyAlignment="1">
      <alignment/>
    </xf>
    <xf numFmtId="194" fontId="5" fillId="37" borderId="56" xfId="33" applyFont="1" applyFill="1" applyBorder="1" applyAlignment="1">
      <alignment/>
    </xf>
    <xf numFmtId="0" fontId="5" fillId="37" borderId="14" xfId="48" applyFont="1" applyFill="1" applyBorder="1" applyAlignment="1">
      <alignment horizontal="center"/>
      <protection/>
    </xf>
    <xf numFmtId="2" fontId="5" fillId="37" borderId="58" xfId="33" applyNumberFormat="1" applyFont="1" applyFill="1" applyBorder="1" applyAlignment="1">
      <alignment horizontal="center"/>
    </xf>
    <xf numFmtId="2" fontId="5" fillId="37" borderId="52" xfId="33" applyNumberFormat="1" applyFont="1" applyFill="1" applyBorder="1" applyAlignment="1">
      <alignment horizontal="center"/>
    </xf>
    <xf numFmtId="2" fontId="5" fillId="37" borderId="53" xfId="33" applyNumberFormat="1" applyFont="1" applyFill="1" applyBorder="1" applyAlignment="1">
      <alignment horizontal="center"/>
    </xf>
    <xf numFmtId="49" fontId="5" fillId="37" borderId="52" xfId="48" applyNumberFormat="1" applyFont="1" applyFill="1" applyBorder="1" applyAlignment="1">
      <alignment horizontal="center"/>
      <protection/>
    </xf>
    <xf numFmtId="0" fontId="5" fillId="0" borderId="144" xfId="48" applyFont="1" applyBorder="1" applyAlignment="1" applyProtection="1">
      <alignment horizontal="center"/>
      <protection locked="0"/>
    </xf>
    <xf numFmtId="0" fontId="5" fillId="0" borderId="121" xfId="48" applyFont="1" applyBorder="1" applyAlignment="1" applyProtection="1">
      <alignment horizontal="left" vertical="top"/>
      <protection locked="0"/>
    </xf>
    <xf numFmtId="9" fontId="5" fillId="0" borderId="120" xfId="53" applyFont="1" applyBorder="1" applyAlignment="1">
      <alignment horizontal="center"/>
    </xf>
    <xf numFmtId="215" fontId="5" fillId="0" borderId="124" xfId="33" applyNumberFormat="1" applyFont="1" applyBorder="1" applyAlignment="1">
      <alignment/>
    </xf>
    <xf numFmtId="215" fontId="5" fillId="0" borderId="120" xfId="33" applyNumberFormat="1" applyFont="1" applyBorder="1" applyAlignment="1">
      <alignment/>
    </xf>
    <xf numFmtId="215" fontId="5" fillId="0" borderId="122" xfId="33" applyNumberFormat="1" applyFont="1" applyBorder="1" applyAlignment="1">
      <alignment/>
    </xf>
    <xf numFmtId="43" fontId="5" fillId="37" borderId="123" xfId="41" applyNumberFormat="1" applyFont="1" applyFill="1" applyBorder="1" applyAlignment="1">
      <alignment/>
    </xf>
    <xf numFmtId="43" fontId="5" fillId="37" borderId="121" xfId="41" applyNumberFormat="1" applyFont="1" applyFill="1" applyBorder="1" applyAlignment="1">
      <alignment/>
    </xf>
    <xf numFmtId="43" fontId="5" fillId="37" borderId="122" xfId="41" applyNumberFormat="1" applyFont="1" applyFill="1" applyBorder="1" applyAlignment="1">
      <alignment/>
    </xf>
    <xf numFmtId="0" fontId="5" fillId="37" borderId="140" xfId="48" applyFont="1" applyFill="1" applyBorder="1" applyAlignment="1">
      <alignment horizontal="center"/>
      <protection/>
    </xf>
    <xf numFmtId="194" fontId="5" fillId="37" borderId="123" xfId="33" applyFont="1" applyFill="1" applyBorder="1" applyAlignment="1">
      <alignment horizontal="center"/>
    </xf>
    <xf numFmtId="194" fontId="5" fillId="37" borderId="121" xfId="33" applyFont="1" applyFill="1" applyBorder="1" applyAlignment="1">
      <alignment horizontal="right"/>
    </xf>
    <xf numFmtId="194" fontId="5" fillId="37" borderId="124" xfId="33" applyFont="1" applyFill="1" applyBorder="1" applyAlignment="1">
      <alignment horizontal="right"/>
    </xf>
    <xf numFmtId="49" fontId="5" fillId="37" borderId="120" xfId="48" applyNumberFormat="1" applyFont="1" applyFill="1" applyBorder="1" applyAlignment="1">
      <alignment horizontal="center"/>
      <protection/>
    </xf>
    <xf numFmtId="0" fontId="16" fillId="0" borderId="129" xfId="48" applyFont="1" applyBorder="1" applyAlignment="1">
      <alignment vertical="center"/>
      <protection/>
    </xf>
    <xf numFmtId="0" fontId="16" fillId="0" borderId="126" xfId="48" applyFont="1" applyBorder="1" applyAlignment="1">
      <alignment horizontal="left" vertical="top"/>
      <protection/>
    </xf>
    <xf numFmtId="215" fontId="5" fillId="0" borderId="130" xfId="33" applyNumberFormat="1" applyFont="1" applyBorder="1" applyAlignment="1">
      <alignment/>
    </xf>
    <xf numFmtId="215" fontId="5" fillId="0" borderId="125" xfId="33" applyNumberFormat="1" applyFont="1" applyBorder="1" applyAlignment="1">
      <alignment/>
    </xf>
    <xf numFmtId="0" fontId="5" fillId="37" borderId="141" xfId="48" applyFont="1" applyFill="1" applyBorder="1" applyAlignment="1">
      <alignment horizontal="center"/>
      <protection/>
    </xf>
    <xf numFmtId="2" fontId="5" fillId="37" borderId="128" xfId="33" applyNumberFormat="1" applyFont="1" applyFill="1" applyBorder="1" applyAlignment="1">
      <alignment horizontal="center"/>
    </xf>
    <xf numFmtId="2" fontId="5" fillId="37" borderId="125" xfId="33" applyNumberFormat="1" applyFont="1" applyFill="1" applyBorder="1" applyAlignment="1">
      <alignment horizontal="center"/>
    </xf>
    <xf numFmtId="2" fontId="5" fillId="37" borderId="129" xfId="33" applyNumberFormat="1" applyFont="1" applyFill="1" applyBorder="1" applyAlignment="1">
      <alignment horizontal="center"/>
    </xf>
    <xf numFmtId="49" fontId="5" fillId="37" borderId="125" xfId="48" applyNumberFormat="1" applyFont="1" applyFill="1" applyBorder="1" applyAlignment="1">
      <alignment horizontal="center"/>
      <protection/>
    </xf>
    <xf numFmtId="0" fontId="16" fillId="0" borderId="129" xfId="48" applyFont="1" applyBorder="1" applyAlignment="1" applyProtection="1">
      <alignment vertical="center"/>
      <protection locked="0"/>
    </xf>
    <xf numFmtId="0" fontId="16" fillId="0" borderId="126" xfId="48" applyFont="1" applyBorder="1" applyAlignment="1" applyProtection="1">
      <alignment horizontal="left" vertical="top"/>
      <protection locked="0"/>
    </xf>
    <xf numFmtId="194" fontId="5" fillId="37" borderId="128" xfId="33" applyFont="1" applyFill="1" applyBorder="1" applyAlignment="1">
      <alignment horizontal="center"/>
    </xf>
    <xf numFmtId="194" fontId="5" fillId="37" borderId="126" xfId="33" applyFont="1" applyFill="1" applyBorder="1" applyAlignment="1">
      <alignment horizontal="right"/>
    </xf>
    <xf numFmtId="194" fontId="5" fillId="37" borderId="130" xfId="33" applyFont="1" applyFill="1" applyBorder="1" applyAlignment="1">
      <alignment horizontal="right"/>
    </xf>
    <xf numFmtId="0" fontId="5" fillId="0" borderId="129" xfId="48" applyFont="1" applyBorder="1" applyAlignment="1" applyProtection="1">
      <alignment horizontal="left"/>
      <protection locked="0"/>
    </xf>
    <xf numFmtId="0" fontId="5" fillId="0" borderId="126" xfId="48" applyFont="1" applyBorder="1" applyAlignment="1" applyProtection="1">
      <alignment horizontal="left" vertical="top"/>
      <protection locked="0"/>
    </xf>
    <xf numFmtId="0" fontId="5" fillId="0" borderId="129" xfId="48" applyFont="1" applyBorder="1" applyAlignment="1" applyProtection="1">
      <alignment horizontal="center"/>
      <protection locked="0"/>
    </xf>
    <xf numFmtId="9" fontId="6" fillId="0" borderId="95" xfId="53" applyFont="1" applyBorder="1" applyAlignment="1">
      <alignment horizontal="center"/>
    </xf>
    <xf numFmtId="215" fontId="6" fillId="0" borderId="98" xfId="33" applyNumberFormat="1" applyFont="1" applyBorder="1" applyAlignment="1">
      <alignment/>
    </xf>
    <xf numFmtId="215" fontId="6" fillId="0" borderId="95" xfId="33" applyNumberFormat="1" applyFont="1" applyBorder="1" applyAlignment="1">
      <alignment/>
    </xf>
    <xf numFmtId="4" fontId="6" fillId="0" borderId="99" xfId="35" applyNumberFormat="1" applyFont="1" applyBorder="1" applyAlignment="1" applyProtection="1">
      <alignment/>
      <protection/>
    </xf>
    <xf numFmtId="4" fontId="6" fillId="0" borderId="95" xfId="33" applyNumberFormat="1" applyFont="1" applyBorder="1" applyAlignment="1">
      <alignment/>
    </xf>
    <xf numFmtId="4" fontId="6" fillId="0" borderId="93" xfId="33" applyNumberFormat="1" applyFont="1" applyBorder="1" applyAlignment="1">
      <alignment/>
    </xf>
    <xf numFmtId="1" fontId="6" fillId="0" borderId="96" xfId="41" applyNumberFormat="1" applyFont="1" applyFill="1" applyBorder="1" applyAlignment="1">
      <alignment horizontal="center"/>
    </xf>
    <xf numFmtId="194" fontId="6" fillId="37" borderId="99" xfId="33" applyFont="1" applyFill="1" applyBorder="1" applyAlignment="1">
      <alignment horizontal="center"/>
    </xf>
    <xf numFmtId="43" fontId="6" fillId="37" borderId="95" xfId="33" applyNumberFormat="1" applyFont="1" applyFill="1" applyBorder="1" applyAlignment="1">
      <alignment horizontal="center"/>
    </xf>
    <xf numFmtId="2" fontId="6" fillId="37" borderId="97" xfId="33" applyNumberFormat="1" applyFont="1" applyFill="1" applyBorder="1" applyAlignment="1">
      <alignment horizontal="center"/>
    </xf>
    <xf numFmtId="49" fontId="6" fillId="37" borderId="95" xfId="48" applyNumberFormat="1" applyFont="1" applyFill="1" applyBorder="1" applyAlignment="1">
      <alignment horizontal="center"/>
      <protection/>
    </xf>
    <xf numFmtId="0" fontId="1" fillId="0" borderId="0" xfId="48" applyFont="1">
      <alignment/>
      <protection/>
    </xf>
    <xf numFmtId="0" fontId="5" fillId="0" borderId="53" xfId="48" applyFont="1" applyBorder="1" applyAlignment="1" applyProtection="1">
      <alignment horizontal="left" vertical="top"/>
      <protection locked="0"/>
    </xf>
    <xf numFmtId="0" fontId="5" fillId="0" borderId="51" xfId="48" applyFont="1" applyBorder="1" applyAlignment="1" applyProtection="1">
      <alignment horizontal="left" vertical="top"/>
      <protection locked="0"/>
    </xf>
    <xf numFmtId="43" fontId="5" fillId="37" borderId="58" xfId="41" applyNumberFormat="1" applyFont="1" applyFill="1" applyBorder="1" applyAlignment="1">
      <alignment/>
    </xf>
    <xf numFmtId="43" fontId="5" fillId="37" borderId="51" xfId="41" applyNumberFormat="1" applyFont="1" applyFill="1" applyBorder="1" applyAlignment="1">
      <alignment/>
    </xf>
    <xf numFmtId="43" fontId="5" fillId="37" borderId="56" xfId="41" applyNumberFormat="1" applyFont="1" applyFill="1" applyBorder="1" applyAlignment="1">
      <alignment/>
    </xf>
    <xf numFmtId="194" fontId="5" fillId="37" borderId="58" xfId="33" applyFont="1" applyFill="1" applyBorder="1" applyAlignment="1">
      <alignment horizontal="center"/>
    </xf>
    <xf numFmtId="194" fontId="5" fillId="37" borderId="51" xfId="33" applyFont="1" applyFill="1" applyBorder="1" applyAlignment="1">
      <alignment horizontal="right"/>
    </xf>
    <xf numFmtId="194" fontId="5" fillId="37" borderId="0" xfId="33" applyFont="1" applyFill="1" applyBorder="1" applyAlignment="1">
      <alignment horizontal="right"/>
    </xf>
    <xf numFmtId="9" fontId="5" fillId="0" borderId="125" xfId="53" applyFont="1" applyBorder="1" applyAlignment="1">
      <alignment horizontal="center"/>
    </xf>
    <xf numFmtId="215" fontId="5" fillId="0" borderId="127" xfId="33" applyNumberFormat="1" applyFont="1" applyBorder="1" applyAlignment="1">
      <alignment/>
    </xf>
    <xf numFmtId="0" fontId="5" fillId="0" borderId="145" xfId="48" applyFont="1" applyBorder="1" applyAlignment="1" applyProtection="1">
      <alignment horizontal="center"/>
      <protection locked="0"/>
    </xf>
    <xf numFmtId="0" fontId="5" fillId="0" borderId="146" xfId="48" applyFont="1" applyBorder="1" applyAlignment="1" applyProtection="1">
      <alignment horizontal="left" vertical="top"/>
      <protection locked="0"/>
    </xf>
    <xf numFmtId="9" fontId="5" fillId="0" borderId="143" xfId="53" applyFont="1" applyBorder="1" applyAlignment="1">
      <alignment horizontal="center"/>
    </xf>
    <xf numFmtId="215" fontId="5" fillId="0" borderId="147" xfId="33" applyNumberFormat="1" applyFont="1" applyBorder="1" applyAlignment="1">
      <alignment/>
    </xf>
    <xf numFmtId="215" fontId="5" fillId="0" borderId="143" xfId="33" applyNumberFormat="1" applyFont="1" applyBorder="1" applyAlignment="1">
      <alignment/>
    </xf>
    <xf numFmtId="0" fontId="5" fillId="37" borderId="148" xfId="48" applyFont="1" applyFill="1" applyBorder="1" applyAlignment="1">
      <alignment horizontal="center"/>
      <protection/>
    </xf>
    <xf numFmtId="194" fontId="5" fillId="37" borderId="149" xfId="33" applyFont="1" applyFill="1" applyBorder="1" applyAlignment="1">
      <alignment horizontal="center"/>
    </xf>
    <xf numFmtId="194" fontId="5" fillId="37" borderId="146" xfId="33" applyFont="1" applyFill="1" applyBorder="1" applyAlignment="1">
      <alignment horizontal="right"/>
    </xf>
    <xf numFmtId="194" fontId="5" fillId="37" borderId="147" xfId="33" applyFont="1" applyFill="1" applyBorder="1" applyAlignment="1">
      <alignment horizontal="right"/>
    </xf>
    <xf numFmtId="49" fontId="5" fillId="37" borderId="143" xfId="48" applyNumberFormat="1" applyFont="1" applyFill="1" applyBorder="1" applyAlignment="1">
      <alignment horizontal="center"/>
      <protection/>
    </xf>
    <xf numFmtId="0" fontId="6" fillId="0" borderId="0" xfId="48" applyFont="1" applyBorder="1" applyAlignment="1" applyProtection="1">
      <alignment horizontal="center" vertical="center"/>
      <protection locked="0"/>
    </xf>
    <xf numFmtId="0" fontId="6" fillId="0" borderId="0" xfId="48" applyFont="1" applyBorder="1" applyAlignment="1" applyProtection="1">
      <alignment horizontal="center" vertical="top"/>
      <protection locked="0"/>
    </xf>
    <xf numFmtId="0" fontId="6" fillId="0" borderId="0" xfId="48" applyFont="1" applyBorder="1" applyAlignment="1">
      <alignment horizontal="left"/>
      <protection/>
    </xf>
    <xf numFmtId="215" fontId="6" fillId="0" borderId="0" xfId="33" applyNumberFormat="1" applyFont="1" applyBorder="1" applyAlignment="1">
      <alignment/>
    </xf>
    <xf numFmtId="2" fontId="6" fillId="0" borderId="0" xfId="33" applyNumberFormat="1" applyFont="1" applyBorder="1" applyAlignment="1">
      <alignment/>
    </xf>
    <xf numFmtId="1" fontId="6" fillId="38" borderId="0" xfId="48" applyNumberFormat="1" applyFont="1" applyFill="1" applyBorder="1" applyAlignment="1">
      <alignment horizontal="center"/>
      <protection/>
    </xf>
    <xf numFmtId="194" fontId="6" fillId="37" borderId="0" xfId="33" applyFont="1" applyFill="1" applyBorder="1" applyAlignment="1">
      <alignment horizontal="center"/>
    </xf>
    <xf numFmtId="194" fontId="6" fillId="37" borderId="0" xfId="33" applyFont="1" applyFill="1" applyBorder="1" applyAlignment="1">
      <alignment horizontal="right"/>
    </xf>
    <xf numFmtId="49" fontId="6" fillId="37" borderId="0" xfId="48" applyNumberFormat="1" applyFont="1" applyFill="1" applyBorder="1" applyAlignment="1">
      <alignment horizontal="center"/>
      <protection/>
    </xf>
    <xf numFmtId="0" fontId="7" fillId="0" borderId="0" xfId="48" applyFont="1" applyAlignment="1" applyProtection="1">
      <alignment horizontal="left"/>
      <protection locked="0"/>
    </xf>
    <xf numFmtId="0" fontId="7" fillId="0" borderId="0" xfId="48" applyFont="1" applyAlignment="1" applyProtection="1">
      <alignment horizontal="left" vertical="top"/>
      <protection locked="0"/>
    </xf>
    <xf numFmtId="0" fontId="7" fillId="0" borderId="0" xfId="48" applyFont="1" applyFill="1">
      <alignment/>
      <protection/>
    </xf>
    <xf numFmtId="0" fontId="7" fillId="0" borderId="0" xfId="48" applyFont="1">
      <alignment/>
      <protection/>
    </xf>
    <xf numFmtId="0" fontId="5" fillId="0" borderId="0" xfId="48" applyFont="1">
      <alignment/>
      <protection/>
    </xf>
    <xf numFmtId="0" fontId="7" fillId="0" borderId="0" xfId="48" applyFont="1" applyProtection="1">
      <alignment/>
      <protection locked="0"/>
    </xf>
    <xf numFmtId="0" fontId="7" fillId="0" borderId="0" xfId="48" applyFont="1" applyAlignment="1" applyProtection="1">
      <alignment vertical="top"/>
      <protection locked="0"/>
    </xf>
    <xf numFmtId="0" fontId="7" fillId="0" borderId="0" xfId="49" applyFont="1">
      <alignment/>
      <protection/>
    </xf>
    <xf numFmtId="0" fontId="7" fillId="0" borderId="0" xfId="49" applyFont="1" applyAlignment="1">
      <alignment vertical="top"/>
      <protection/>
    </xf>
    <xf numFmtId="0" fontId="5" fillId="0" borderId="0" xfId="48" applyFont="1" applyProtection="1">
      <alignment/>
      <protection locked="0"/>
    </xf>
    <xf numFmtId="0" fontId="5" fillId="0" borderId="0" xfId="48" applyFont="1" applyAlignment="1" applyProtection="1">
      <alignment vertical="top"/>
      <protection locked="0"/>
    </xf>
    <xf numFmtId="0" fontId="5" fillId="0" borderId="126" xfId="48" applyFont="1" applyBorder="1" applyAlignment="1">
      <alignment horizontal="left" vertical="top"/>
      <protection/>
    </xf>
    <xf numFmtId="9" fontId="6" fillId="0" borderId="0" xfId="53" applyFont="1" applyBorder="1" applyAlignment="1">
      <alignment horizontal="center"/>
    </xf>
    <xf numFmtId="4" fontId="6" fillId="0" borderId="0" xfId="35" applyNumberFormat="1" applyFont="1" applyBorder="1" applyAlignment="1" applyProtection="1">
      <alignment/>
      <protection/>
    </xf>
    <xf numFmtId="4" fontId="6" fillId="0" borderId="0" xfId="33" applyNumberFormat="1" applyFont="1" applyBorder="1" applyAlignment="1">
      <alignment/>
    </xf>
    <xf numFmtId="1" fontId="6" fillId="0" borderId="0" xfId="41" applyNumberFormat="1" applyFont="1" applyFill="1" applyBorder="1" applyAlignment="1">
      <alignment horizontal="center"/>
    </xf>
    <xf numFmtId="43" fontId="6" fillId="37" borderId="0" xfId="33" applyNumberFormat="1" applyFont="1" applyFill="1" applyBorder="1" applyAlignment="1">
      <alignment horizontal="center"/>
    </xf>
    <xf numFmtId="2" fontId="6" fillId="37" borderId="0" xfId="33" applyNumberFormat="1" applyFont="1" applyFill="1" applyBorder="1" applyAlignment="1">
      <alignment horizontal="center"/>
    </xf>
    <xf numFmtId="0" fontId="6" fillId="0" borderId="84" xfId="48" applyFont="1" applyBorder="1" applyAlignment="1" applyProtection="1">
      <alignment horizontal="center" vertical="center"/>
      <protection locked="0"/>
    </xf>
    <xf numFmtId="9" fontId="6" fillId="0" borderId="84" xfId="53" applyFont="1" applyBorder="1" applyAlignment="1">
      <alignment horizontal="center"/>
    </xf>
    <xf numFmtId="215" fontId="6" fillId="0" borderId="84" xfId="33" applyNumberFormat="1" applyFont="1" applyBorder="1" applyAlignment="1">
      <alignment/>
    </xf>
    <xf numFmtId="4" fontId="6" fillId="0" borderId="84" xfId="35" applyNumberFormat="1" applyFont="1" applyBorder="1" applyAlignment="1" applyProtection="1">
      <alignment/>
      <protection/>
    </xf>
    <xf numFmtId="4" fontId="6" fillId="0" borderId="84" xfId="33" applyNumberFormat="1" applyFont="1" applyBorder="1" applyAlignment="1">
      <alignment/>
    </xf>
    <xf numFmtId="1" fontId="6" fillId="0" borderId="84" xfId="41" applyNumberFormat="1" applyFont="1" applyFill="1" applyBorder="1" applyAlignment="1">
      <alignment horizontal="center"/>
    </xf>
    <xf numFmtId="194" fontId="6" fillId="37" borderId="84" xfId="33" applyFont="1" applyFill="1" applyBorder="1" applyAlignment="1">
      <alignment horizontal="center"/>
    </xf>
    <xf numFmtId="43" fontId="6" fillId="37" borderId="84" xfId="33" applyNumberFormat="1" applyFont="1" applyFill="1" applyBorder="1" applyAlignment="1">
      <alignment horizontal="center"/>
    </xf>
    <xf numFmtId="2" fontId="6" fillId="37" borderId="84" xfId="33" applyNumberFormat="1" applyFont="1" applyFill="1" applyBorder="1" applyAlignment="1">
      <alignment horizontal="center"/>
    </xf>
    <xf numFmtId="49" fontId="6" fillId="37" borderId="84" xfId="48" applyNumberFormat="1" applyFont="1" applyFill="1" applyBorder="1" applyAlignment="1">
      <alignment horizontal="center"/>
      <protection/>
    </xf>
    <xf numFmtId="0" fontId="5" fillId="7" borderId="89" xfId="49" applyFont="1" applyFill="1" applyBorder="1">
      <alignment/>
      <protection/>
    </xf>
    <xf numFmtId="0" fontId="5" fillId="7" borderId="131" xfId="49" applyFont="1" applyFill="1" applyBorder="1">
      <alignment/>
      <protection/>
    </xf>
    <xf numFmtId="215" fontId="5" fillId="7" borderId="132" xfId="34" applyNumberFormat="1" applyFont="1" applyFill="1" applyBorder="1" applyAlignment="1">
      <alignment/>
    </xf>
    <xf numFmtId="192" fontId="5" fillId="7" borderId="132" xfId="34" applyNumberFormat="1" applyFont="1" applyFill="1" applyBorder="1" applyAlignment="1">
      <alignment/>
    </xf>
    <xf numFmtId="215" fontId="5" fillId="7" borderId="133" xfId="34" applyNumberFormat="1" applyFont="1" applyFill="1" applyBorder="1" applyAlignment="1">
      <alignment/>
    </xf>
    <xf numFmtId="4" fontId="5" fillId="7" borderId="134" xfId="34" applyNumberFormat="1" applyFont="1" applyFill="1" applyBorder="1" applyAlignment="1">
      <alignment horizontal="right"/>
    </xf>
    <xf numFmtId="4" fontId="5" fillId="7" borderId="131" xfId="34" applyNumberFormat="1" applyFont="1" applyFill="1" applyBorder="1" applyAlignment="1">
      <alignment horizontal="center"/>
    </xf>
    <xf numFmtId="217" fontId="5" fillId="7" borderId="131" xfId="34" applyNumberFormat="1" applyFont="1" applyFill="1" applyBorder="1" applyAlignment="1">
      <alignment horizontal="right"/>
    </xf>
    <xf numFmtId="4" fontId="5" fillId="7" borderId="131" xfId="34" applyNumberFormat="1" applyFont="1" applyFill="1" applyBorder="1" applyAlignment="1">
      <alignment horizontal="right"/>
    </xf>
    <xf numFmtId="2" fontId="5" fillId="7" borderId="139" xfId="49" applyNumberFormat="1" applyFont="1" applyFill="1" applyBorder="1" applyAlignment="1">
      <alignment horizontal="center"/>
      <protection/>
    </xf>
    <xf numFmtId="2" fontId="5" fillId="7" borderId="135" xfId="34" applyNumberFormat="1" applyFont="1" applyFill="1" applyBorder="1" applyAlignment="1">
      <alignment horizontal="center"/>
    </xf>
    <xf numFmtId="194" fontId="5" fillId="7" borderId="132" xfId="34" applyNumberFormat="1" applyFont="1" applyFill="1" applyBorder="1" applyAlignment="1">
      <alignment horizontal="center"/>
    </xf>
    <xf numFmtId="43" fontId="5" fillId="7" borderId="136" xfId="39" applyFont="1" applyFill="1" applyBorder="1" applyAlignment="1">
      <alignment horizontal="center"/>
    </xf>
    <xf numFmtId="1" fontId="5" fillId="7" borderId="131" xfId="34" applyNumberFormat="1" applyFont="1" applyFill="1" applyBorder="1" applyAlignment="1">
      <alignment horizontal="center"/>
    </xf>
    <xf numFmtId="2" fontId="5" fillId="7" borderId="120" xfId="34" applyNumberFormat="1" applyFont="1" applyFill="1" applyBorder="1" applyAlignment="1">
      <alignment horizontal="center"/>
    </xf>
    <xf numFmtId="2" fontId="5" fillId="7" borderId="136" xfId="34" applyNumberFormat="1" applyFont="1" applyFill="1" applyBorder="1" applyAlignment="1">
      <alignment horizontal="center"/>
    </xf>
    <xf numFmtId="2" fontId="8" fillId="7" borderId="136" xfId="34" applyNumberFormat="1" applyFont="1" applyFill="1" applyBorder="1" applyAlignment="1">
      <alignment horizontal="center"/>
    </xf>
    <xf numFmtId="49" fontId="5" fillId="7" borderId="131" xfId="39" applyNumberFormat="1" applyFont="1" applyFill="1" applyBorder="1" applyAlignment="1">
      <alignment horizontal="center"/>
    </xf>
    <xf numFmtId="0" fontId="2" fillId="7" borderId="0" xfId="49" applyFont="1" applyFill="1">
      <alignment/>
      <protection/>
    </xf>
    <xf numFmtId="2" fontId="5" fillId="7" borderId="52" xfId="34" applyNumberFormat="1" applyFont="1" applyFill="1" applyBorder="1" applyAlignment="1">
      <alignment horizontal="center"/>
    </xf>
    <xf numFmtId="4" fontId="54" fillId="0" borderId="125" xfId="34" applyNumberFormat="1" applyFont="1" applyFill="1" applyBorder="1" applyAlignment="1">
      <alignment horizontal="center"/>
    </xf>
    <xf numFmtId="217" fontId="54" fillId="0" borderId="125" xfId="34" applyNumberFormat="1" applyFont="1" applyFill="1" applyBorder="1" applyAlignment="1">
      <alignment horizontal="right"/>
    </xf>
    <xf numFmtId="217" fontId="54" fillId="0" borderId="126" xfId="34" applyNumberFormat="1" applyFont="1" applyFill="1" applyBorder="1" applyAlignment="1">
      <alignment horizontal="center"/>
    </xf>
    <xf numFmtId="4" fontId="54" fillId="0" borderId="125" xfId="34" applyNumberFormat="1" applyFont="1" applyFill="1" applyBorder="1" applyAlignment="1">
      <alignment horizontal="right"/>
    </xf>
    <xf numFmtId="4" fontId="54" fillId="0" borderId="127" xfId="34" applyNumberFormat="1" applyFont="1" applyFill="1" applyBorder="1" applyAlignment="1">
      <alignment horizontal="center"/>
    </xf>
    <xf numFmtId="4" fontId="54" fillId="0" borderId="69" xfId="34" applyNumberFormat="1" applyFont="1" applyFill="1" applyBorder="1" applyAlignment="1">
      <alignment horizontal="center"/>
    </xf>
    <xf numFmtId="217" fontId="54" fillId="0" borderId="69" xfId="34" applyNumberFormat="1" applyFont="1" applyFill="1" applyBorder="1" applyAlignment="1">
      <alignment horizontal="right"/>
    </xf>
    <xf numFmtId="217" fontId="54" fillId="0" borderId="81" xfId="34" applyNumberFormat="1" applyFont="1" applyFill="1" applyBorder="1" applyAlignment="1">
      <alignment horizontal="center"/>
    </xf>
    <xf numFmtId="4" fontId="54" fillId="0" borderId="69" xfId="34" applyNumberFormat="1" applyFont="1" applyFill="1" applyBorder="1" applyAlignment="1">
      <alignment horizontal="right"/>
    </xf>
    <xf numFmtId="4" fontId="54" fillId="0" borderId="82" xfId="34" applyNumberFormat="1" applyFont="1" applyFill="1" applyBorder="1" applyAlignment="1">
      <alignment horizontal="center"/>
    </xf>
    <xf numFmtId="43" fontId="6" fillId="0" borderId="95" xfId="33" applyNumberFormat="1" applyFont="1" applyBorder="1" applyAlignment="1">
      <alignment/>
    </xf>
    <xf numFmtId="2" fontId="5" fillId="13" borderId="95" xfId="34" applyNumberFormat="1" applyFont="1" applyFill="1" applyBorder="1" applyAlignment="1">
      <alignment horizontal="center"/>
    </xf>
    <xf numFmtId="228" fontId="5" fillId="13" borderId="135" xfId="34" applyNumberFormat="1" applyFont="1" applyFill="1" applyBorder="1" applyAlignment="1">
      <alignment horizontal="center"/>
    </xf>
    <xf numFmtId="228" fontId="5" fillId="13" borderId="132" xfId="34" applyNumberFormat="1" applyFont="1" applyFill="1" applyBorder="1" applyAlignment="1">
      <alignment horizontal="center"/>
    </xf>
    <xf numFmtId="228" fontId="5" fillId="13" borderId="136" xfId="34" applyNumberFormat="1" applyFont="1" applyFill="1" applyBorder="1" applyAlignment="1">
      <alignment horizontal="center"/>
    </xf>
    <xf numFmtId="2" fontId="54" fillId="7" borderId="52" xfId="34" applyNumberFormat="1" applyFont="1" applyFill="1" applyBorder="1" applyAlignment="1">
      <alignment horizontal="center"/>
    </xf>
    <xf numFmtId="0" fontId="4" fillId="0" borderId="0" xfId="49" applyFont="1" applyFill="1" applyAlignment="1">
      <alignment horizontal="left"/>
      <protection/>
    </xf>
    <xf numFmtId="0" fontId="7" fillId="0" borderId="89" xfId="49" applyFont="1" applyFill="1" applyBorder="1" applyAlignment="1">
      <alignment horizontal="center" vertical="center"/>
      <protection/>
    </xf>
    <xf numFmtId="0" fontId="7" fillId="0" borderId="53" xfId="49" applyFont="1" applyFill="1" applyBorder="1" applyAlignment="1">
      <alignment horizontal="center" vertical="center"/>
      <protection/>
    </xf>
    <xf numFmtId="0" fontId="7" fillId="0" borderId="112" xfId="49" applyFont="1" applyFill="1" applyBorder="1" applyAlignment="1">
      <alignment horizontal="center" vertical="center"/>
      <protection/>
    </xf>
    <xf numFmtId="0" fontId="7" fillId="0" borderId="84" xfId="49" applyFont="1" applyFill="1" applyBorder="1" applyAlignment="1">
      <alignment horizontal="center"/>
      <protection/>
    </xf>
    <xf numFmtId="0" fontId="7" fillId="0" borderId="85" xfId="49" applyFont="1" applyFill="1" applyBorder="1" applyAlignment="1">
      <alignment horizontal="center"/>
      <protection/>
    </xf>
    <xf numFmtId="0" fontId="7" fillId="0" borderId="101" xfId="49" applyFont="1" applyFill="1" applyBorder="1" applyAlignment="1">
      <alignment horizontal="center" vertical="center"/>
      <protection/>
    </xf>
    <xf numFmtId="0" fontId="7" fillId="0" borderId="84" xfId="49" applyFont="1" applyFill="1" applyBorder="1" applyAlignment="1">
      <alignment horizontal="center" vertical="center"/>
      <protection/>
    </xf>
    <xf numFmtId="0" fontId="7" fillId="0" borderId="85" xfId="49" applyFont="1" applyFill="1" applyBorder="1" applyAlignment="1">
      <alignment horizontal="center" vertical="center"/>
      <protection/>
    </xf>
    <xf numFmtId="0" fontId="7" fillId="0" borderId="83" xfId="49" applyFont="1" applyFill="1" applyBorder="1" applyAlignment="1">
      <alignment horizontal="center" vertical="center"/>
      <protection/>
    </xf>
    <xf numFmtId="0" fontId="7" fillId="0" borderId="68" xfId="49" applyFont="1" applyFill="1" applyBorder="1" applyAlignment="1">
      <alignment horizontal="center" vertical="center"/>
      <protection/>
    </xf>
    <xf numFmtId="0" fontId="7" fillId="0" borderId="68" xfId="49" applyFont="1" applyFill="1" applyBorder="1" applyAlignment="1">
      <alignment horizontal="center"/>
      <protection/>
    </xf>
    <xf numFmtId="0" fontId="7" fillId="0" borderId="82" xfId="49" applyFont="1" applyFill="1" applyBorder="1" applyAlignment="1">
      <alignment horizontal="center"/>
      <protection/>
    </xf>
    <xf numFmtId="0" fontId="7" fillId="0" borderId="83" xfId="49" applyFont="1" applyFill="1" applyBorder="1" applyAlignment="1">
      <alignment horizontal="center"/>
      <protection/>
    </xf>
    <xf numFmtId="0" fontId="8" fillId="0" borderId="89" xfId="49" applyFont="1" applyFill="1" applyBorder="1" applyAlignment="1">
      <alignment horizontal="center" vertical="center"/>
      <protection/>
    </xf>
    <xf numFmtId="0" fontId="8" fillId="0" borderId="112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right"/>
      <protection/>
    </xf>
    <xf numFmtId="0" fontId="8" fillId="0" borderId="26" xfId="49" applyFont="1" applyFill="1" applyBorder="1" applyAlignment="1">
      <alignment horizontal="center" vertical="center"/>
      <protection/>
    </xf>
    <xf numFmtId="0" fontId="8" fillId="0" borderId="80" xfId="49" applyFont="1" applyFill="1" applyBorder="1" applyAlignment="1">
      <alignment horizontal="center" vertical="center"/>
      <protection/>
    </xf>
    <xf numFmtId="0" fontId="5" fillId="0" borderId="84" xfId="49" applyFont="1" applyFill="1" applyBorder="1" applyAlignment="1">
      <alignment horizontal="right"/>
      <protection/>
    </xf>
    <xf numFmtId="0" fontId="7" fillId="0" borderId="100" xfId="49" applyFont="1" applyFill="1" applyBorder="1" applyAlignment="1">
      <alignment horizontal="center" vertical="center"/>
      <protection/>
    </xf>
    <xf numFmtId="0" fontId="7" fillId="0" borderId="54" xfId="49" applyFont="1" applyFill="1" applyBorder="1" applyAlignment="1">
      <alignment horizontal="center" vertical="center"/>
      <protection/>
    </xf>
    <xf numFmtId="0" fontId="7" fillId="0" borderId="38" xfId="49" applyFont="1" applyFill="1" applyBorder="1" applyAlignment="1">
      <alignment horizontal="center" vertical="center"/>
      <protection/>
    </xf>
    <xf numFmtId="0" fontId="7" fillId="0" borderId="150" xfId="49" applyFont="1" applyFill="1" applyBorder="1" applyAlignment="1">
      <alignment horizontal="center"/>
      <protection/>
    </xf>
    <xf numFmtId="0" fontId="8" fillId="0" borderId="101" xfId="49" applyFont="1" applyFill="1" applyBorder="1" applyAlignment="1">
      <alignment horizontal="center" vertical="center"/>
      <protection/>
    </xf>
    <xf numFmtId="0" fontId="8" fillId="0" borderId="84" xfId="49" applyFont="1" applyFill="1" applyBorder="1" applyAlignment="1">
      <alignment horizontal="center" vertical="center"/>
      <protection/>
    </xf>
    <xf numFmtId="0" fontId="8" fillId="0" borderId="151" xfId="49" applyFont="1" applyFill="1" applyBorder="1" applyAlignment="1">
      <alignment horizontal="center" vertical="center"/>
      <protection/>
    </xf>
    <xf numFmtId="0" fontId="8" fillId="0" borderId="83" xfId="49" applyFont="1" applyFill="1" applyBorder="1" applyAlignment="1">
      <alignment horizontal="center" vertical="center"/>
      <protection/>
    </xf>
    <xf numFmtId="0" fontId="8" fillId="0" borderId="68" xfId="49" applyFont="1" applyFill="1" applyBorder="1" applyAlignment="1">
      <alignment horizontal="center" vertical="center"/>
      <protection/>
    </xf>
    <xf numFmtId="0" fontId="8" fillId="0" borderId="75" xfId="49" applyFont="1" applyFill="1" applyBorder="1" applyAlignment="1">
      <alignment horizontal="center" vertical="center"/>
      <protection/>
    </xf>
    <xf numFmtId="0" fontId="8" fillId="0" borderId="152" xfId="49" applyFont="1" applyFill="1" applyBorder="1" applyAlignment="1">
      <alignment horizontal="center"/>
      <protection/>
    </xf>
    <xf numFmtId="0" fontId="8" fillId="0" borderId="68" xfId="49" applyFont="1" applyFill="1" applyBorder="1" applyAlignment="1">
      <alignment horizontal="center"/>
      <protection/>
    </xf>
    <xf numFmtId="0" fontId="8" fillId="0" borderId="82" xfId="49" applyFont="1" applyFill="1" applyBorder="1" applyAlignment="1">
      <alignment horizontal="center"/>
      <protection/>
    </xf>
    <xf numFmtId="0" fontId="6" fillId="34" borderId="94" xfId="49" applyFont="1" applyFill="1" applyBorder="1" applyAlignment="1">
      <alignment horizontal="center"/>
      <protection/>
    </xf>
    <xf numFmtId="0" fontId="6" fillId="34" borderId="92" xfId="49" applyFont="1" applyFill="1" applyBorder="1" applyAlignment="1">
      <alignment horizontal="center"/>
      <protection/>
    </xf>
    <xf numFmtId="0" fontId="6" fillId="34" borderId="97" xfId="49" applyFont="1" applyFill="1" applyBorder="1" applyAlignment="1">
      <alignment horizontal="center"/>
      <protection/>
    </xf>
    <xf numFmtId="0" fontId="6" fillId="34" borderId="98" xfId="49" applyFont="1" applyFill="1" applyBorder="1" applyAlignment="1">
      <alignment horizontal="center"/>
      <protection/>
    </xf>
    <xf numFmtId="49" fontId="6" fillId="34" borderId="86" xfId="49" applyNumberFormat="1" applyFont="1" applyFill="1" applyBorder="1" applyAlignment="1">
      <alignment horizontal="center" vertical="center" wrapText="1"/>
      <protection/>
    </xf>
    <xf numFmtId="49" fontId="6" fillId="34" borderId="52" xfId="49" applyNumberFormat="1" applyFont="1" applyFill="1" applyBorder="1" applyAlignment="1">
      <alignment horizontal="center" vertical="center" wrapText="1"/>
      <protection/>
    </xf>
    <xf numFmtId="49" fontId="6" fillId="34" borderId="69" xfId="49" applyNumberFormat="1" applyFont="1" applyFill="1" applyBorder="1" applyAlignment="1">
      <alignment horizontal="center" vertical="center" wrapText="1"/>
      <protection/>
    </xf>
    <xf numFmtId="0" fontId="6" fillId="34" borderId="89" xfId="49" applyFont="1" applyFill="1" applyBorder="1" applyAlignment="1">
      <alignment horizontal="center" vertical="center"/>
      <protection/>
    </xf>
    <xf numFmtId="0" fontId="6" fillId="34" borderId="53" xfId="49" applyFont="1" applyFill="1" applyBorder="1" applyAlignment="1">
      <alignment horizontal="center" vertical="center"/>
      <protection/>
    </xf>
    <xf numFmtId="0" fontId="6" fillId="34" borderId="84" xfId="49" applyFont="1" applyFill="1" applyBorder="1" applyAlignment="1">
      <alignment horizontal="center"/>
      <protection/>
    </xf>
    <xf numFmtId="0" fontId="6" fillId="34" borderId="85" xfId="49" applyFont="1" applyFill="1" applyBorder="1" applyAlignment="1">
      <alignment horizontal="center"/>
      <protection/>
    </xf>
    <xf numFmtId="0" fontId="6" fillId="34" borderId="101" xfId="49" applyFont="1" applyFill="1" applyBorder="1" applyAlignment="1">
      <alignment horizontal="center" vertical="center"/>
      <protection/>
    </xf>
    <xf numFmtId="0" fontId="6" fillId="34" borderId="84" xfId="49" applyFont="1" applyFill="1" applyBorder="1" applyAlignment="1">
      <alignment horizontal="center" vertical="center"/>
      <protection/>
    </xf>
    <xf numFmtId="0" fontId="6" fillId="34" borderId="68" xfId="49" applyFont="1" applyFill="1" applyBorder="1" applyAlignment="1">
      <alignment horizontal="center" vertical="center"/>
      <protection/>
    </xf>
    <xf numFmtId="0" fontId="6" fillId="34" borderId="86" xfId="49" applyFont="1" applyFill="1" applyBorder="1" applyAlignment="1">
      <alignment horizontal="center" vertical="center"/>
      <protection/>
    </xf>
    <xf numFmtId="0" fontId="6" fillId="34" borderId="52" xfId="49" applyFont="1" applyFill="1" applyBorder="1" applyAlignment="1">
      <alignment horizontal="center" vertical="center"/>
      <protection/>
    </xf>
    <xf numFmtId="0" fontId="8" fillId="34" borderId="86" xfId="49" applyFont="1" applyFill="1" applyBorder="1" applyAlignment="1">
      <alignment horizontal="center" vertical="center" wrapText="1"/>
      <protection/>
    </xf>
    <xf numFmtId="0" fontId="8" fillId="34" borderId="52" xfId="49" applyFont="1" applyFill="1" applyBorder="1" applyAlignment="1">
      <alignment horizontal="center" vertical="center" wrapText="1"/>
      <protection/>
    </xf>
    <xf numFmtId="0" fontId="6" fillId="34" borderId="112" xfId="49" applyFont="1" applyFill="1" applyBorder="1" applyAlignment="1">
      <alignment horizontal="center"/>
      <protection/>
    </xf>
    <xf numFmtId="0" fontId="6" fillId="34" borderId="68" xfId="49" applyFont="1" applyFill="1" applyBorder="1" applyAlignment="1">
      <alignment horizontal="center"/>
      <protection/>
    </xf>
    <xf numFmtId="0" fontId="6" fillId="34" borderId="82" xfId="49" applyFont="1" applyFill="1" applyBorder="1" applyAlignment="1">
      <alignment horizontal="center"/>
      <protection/>
    </xf>
    <xf numFmtId="0" fontId="15" fillId="0" borderId="101" xfId="48" applyFont="1" applyBorder="1" applyAlignment="1">
      <alignment horizontal="center"/>
      <protection/>
    </xf>
    <xf numFmtId="0" fontId="15" fillId="0" borderId="84" xfId="48" applyFont="1" applyBorder="1" applyAlignment="1">
      <alignment horizontal="center"/>
      <protection/>
    </xf>
    <xf numFmtId="0" fontId="15" fillId="0" borderId="85" xfId="48" applyFont="1" applyBorder="1" applyAlignment="1">
      <alignment horizontal="center"/>
      <protection/>
    </xf>
    <xf numFmtId="0" fontId="5" fillId="0" borderId="11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67" xfId="48" applyFont="1" applyBorder="1" applyAlignment="1">
      <alignment horizontal="center" vertical="center" wrapText="1"/>
      <protection/>
    </xf>
    <xf numFmtId="0" fontId="5" fillId="0" borderId="101" xfId="48" applyFont="1" applyBorder="1" applyAlignment="1">
      <alignment horizontal="center" vertical="center"/>
      <protection/>
    </xf>
    <xf numFmtId="0" fontId="5" fillId="0" borderId="84" xfId="48" applyFont="1" applyBorder="1" applyAlignment="1">
      <alignment horizontal="center" vertical="center"/>
      <protection/>
    </xf>
    <xf numFmtId="0" fontId="5" fillId="0" borderId="88" xfId="48" applyFont="1" applyBorder="1" applyAlignment="1">
      <alignment horizontal="center" vertical="center"/>
      <protection/>
    </xf>
    <xf numFmtId="0" fontId="5" fillId="0" borderId="83" xfId="48" applyFont="1" applyBorder="1" applyAlignment="1">
      <alignment horizontal="center" vertical="center"/>
      <protection/>
    </xf>
    <xf numFmtId="0" fontId="5" fillId="0" borderId="68" xfId="48" applyFont="1" applyBorder="1" applyAlignment="1">
      <alignment horizontal="center" vertical="center"/>
      <protection/>
    </xf>
    <xf numFmtId="0" fontId="5" fillId="0" borderId="81" xfId="48" applyFont="1" applyBorder="1" applyAlignment="1">
      <alignment horizontal="center" vertical="center"/>
      <protection/>
    </xf>
    <xf numFmtId="0" fontId="15" fillId="0" borderId="83" xfId="48" applyFont="1" applyBorder="1" applyAlignment="1">
      <alignment horizontal="center"/>
      <protection/>
    </xf>
    <xf numFmtId="0" fontId="15" fillId="0" borderId="68" xfId="48" applyFont="1" applyBorder="1" applyAlignment="1">
      <alignment horizontal="center"/>
      <protection/>
    </xf>
    <xf numFmtId="0" fontId="15" fillId="0" borderId="82" xfId="48" applyFont="1" applyBorder="1" applyAlignment="1">
      <alignment horizontal="center"/>
      <protection/>
    </xf>
    <xf numFmtId="0" fontId="6" fillId="0" borderId="97" xfId="48" applyFont="1" applyBorder="1" applyAlignment="1" applyProtection="1">
      <alignment horizontal="center" vertical="center"/>
      <protection locked="0"/>
    </xf>
    <xf numFmtId="0" fontId="6" fillId="0" borderId="92" xfId="48" applyFont="1" applyBorder="1" applyAlignment="1" applyProtection="1">
      <alignment horizontal="center" vertical="center"/>
      <protection locked="0"/>
    </xf>
    <xf numFmtId="0" fontId="14" fillId="0" borderId="0" xfId="48" applyFont="1" applyAlignment="1" applyProtection="1">
      <alignment horizontal="center" vertical="center"/>
      <protection locked="0"/>
    </xf>
    <xf numFmtId="0" fontId="6" fillId="0" borderId="89" xfId="48" applyFont="1" applyBorder="1" applyAlignment="1" applyProtection="1">
      <alignment horizontal="center" vertical="center"/>
      <protection locked="0"/>
    </xf>
    <xf numFmtId="0" fontId="6" fillId="0" borderId="88" xfId="48" applyFont="1" applyBorder="1" applyAlignment="1" applyProtection="1">
      <alignment horizontal="center" vertical="center"/>
      <protection locked="0"/>
    </xf>
    <xf numFmtId="0" fontId="6" fillId="0" borderId="53" xfId="48" applyFont="1" applyBorder="1" applyAlignment="1" applyProtection="1">
      <alignment horizontal="center" vertical="center"/>
      <protection locked="0"/>
    </xf>
    <xf numFmtId="0" fontId="6" fillId="0" borderId="51" xfId="48" applyFont="1" applyBorder="1" applyAlignment="1" applyProtection="1">
      <alignment horizontal="center" vertical="center"/>
      <protection locked="0"/>
    </xf>
    <xf numFmtId="0" fontId="6" fillId="0" borderId="112" xfId="48" applyFont="1" applyBorder="1" applyAlignment="1" applyProtection="1">
      <alignment horizontal="center" vertical="center"/>
      <protection locked="0"/>
    </xf>
    <xf numFmtId="0" fontId="6" fillId="0" borderId="81" xfId="48" applyFont="1" applyBorder="1" applyAlignment="1" applyProtection="1">
      <alignment horizontal="center" vertical="center"/>
      <protection locked="0"/>
    </xf>
    <xf numFmtId="0" fontId="5" fillId="0" borderId="86" xfId="48" applyFont="1" applyBorder="1" applyAlignment="1">
      <alignment horizontal="center" vertical="center" wrapText="1"/>
      <protection/>
    </xf>
    <xf numFmtId="0" fontId="5" fillId="0" borderId="52" xfId="48" applyFont="1" applyBorder="1" applyAlignment="1">
      <alignment horizontal="center" vertical="center" wrapText="1"/>
      <protection/>
    </xf>
    <xf numFmtId="0" fontId="5" fillId="0" borderId="69" xfId="48" applyFont="1" applyBorder="1" applyAlignment="1">
      <alignment horizontal="center" vertical="center" wrapText="1"/>
      <protection/>
    </xf>
    <xf numFmtId="0" fontId="5" fillId="0" borderId="89" xfId="48" applyFont="1" applyBorder="1" applyAlignment="1">
      <alignment horizontal="center" vertical="center"/>
      <protection/>
    </xf>
    <xf numFmtId="0" fontId="5" fillId="0" borderId="85" xfId="48" applyFont="1" applyBorder="1" applyAlignment="1">
      <alignment horizontal="center" vertical="center"/>
      <protection/>
    </xf>
    <xf numFmtId="0" fontId="5" fillId="0" borderId="112" xfId="48" applyFont="1" applyBorder="1" applyAlignment="1">
      <alignment horizontal="center" vertical="center"/>
      <protection/>
    </xf>
    <xf numFmtId="0" fontId="5" fillId="0" borderId="82" xfId="48" applyFont="1" applyBorder="1" applyAlignment="1">
      <alignment horizontal="center"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ตาราง 17" xfId="33"/>
    <cellStyle name="Comma_ตาราง 2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_sch_t42_R" xfId="49"/>
    <cellStyle name="ป้อนค่า" xfId="50"/>
    <cellStyle name="ปานกลาง" xfId="51"/>
    <cellStyle name="Percent" xfId="52"/>
    <cellStyle name="เปอร์เซ็นต์ 2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dxfs count="2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80" zoomScaleNormal="75" zoomScaleSheetLayoutView="80" zoomScalePageLayoutView="0" workbookViewId="0" topLeftCell="A1">
      <selection activeCell="F2" sqref="F2"/>
    </sheetView>
  </sheetViews>
  <sheetFormatPr defaultColWidth="9.140625" defaultRowHeight="21.75"/>
  <cols>
    <col min="1" max="1" width="28.57421875" style="133" bestFit="1" customWidth="1"/>
    <col min="2" max="2" width="11.7109375" style="133" customWidth="1"/>
    <col min="3" max="3" width="12.8515625" style="133" bestFit="1" customWidth="1"/>
    <col min="4" max="4" width="12.140625" style="133" bestFit="1" customWidth="1"/>
    <col min="5" max="5" width="11.421875" style="133" bestFit="1" customWidth="1"/>
    <col min="6" max="6" width="17.140625" style="133" bestFit="1" customWidth="1"/>
    <col min="7" max="7" width="11.57421875" style="133" customWidth="1"/>
    <col min="8" max="8" width="12.00390625" style="133" bestFit="1" customWidth="1"/>
    <col min="9" max="9" width="12.8515625" style="133" bestFit="1" customWidth="1"/>
    <col min="10" max="10" width="12.8515625" style="244" bestFit="1" customWidth="1"/>
    <col min="11" max="11" width="11.421875" style="133" bestFit="1" customWidth="1"/>
    <col min="12" max="12" width="17.140625" style="133" bestFit="1" customWidth="1"/>
    <col min="13" max="13" width="12.140625" style="133" customWidth="1"/>
    <col min="14" max="14" width="8.8515625" style="133" customWidth="1"/>
    <col min="15" max="15" width="9.421875" style="133" bestFit="1" customWidth="1"/>
    <col min="16" max="16" width="11.140625" style="133" bestFit="1" customWidth="1"/>
    <col min="17" max="17" width="11.421875" style="133" bestFit="1" customWidth="1"/>
    <col min="18" max="18" width="17.140625" style="133" bestFit="1" customWidth="1"/>
    <col min="19" max="19" width="11.57421875" style="4" customWidth="1"/>
    <col min="20" max="16384" width="9.140625" style="1" customWidth="1"/>
  </cols>
  <sheetData>
    <row r="1" spans="1:19" ht="31.5" customHeight="1">
      <c r="A1" s="786" t="s">
        <v>75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8" ht="22.5">
      <c r="A2" s="5"/>
      <c r="B2" s="3"/>
      <c r="C2" s="3"/>
      <c r="D2" s="3"/>
      <c r="E2" s="3"/>
      <c r="F2" s="3"/>
      <c r="G2" s="3"/>
      <c r="H2" s="3"/>
      <c r="I2" s="3"/>
      <c r="J2" s="240"/>
      <c r="K2" s="3"/>
      <c r="L2" s="3"/>
      <c r="M2" s="3"/>
      <c r="N2" s="3"/>
      <c r="O2" s="3"/>
      <c r="P2" s="3"/>
      <c r="Q2" s="3"/>
      <c r="R2" s="3"/>
    </row>
    <row r="3" spans="1:19" ht="24" customHeight="1">
      <c r="A3" s="787" t="s">
        <v>64</v>
      </c>
      <c r="B3" s="183" t="s">
        <v>0</v>
      </c>
      <c r="C3" s="790" t="s">
        <v>11</v>
      </c>
      <c r="D3" s="790"/>
      <c r="E3" s="790"/>
      <c r="F3" s="791"/>
      <c r="G3" s="792" t="s">
        <v>73</v>
      </c>
      <c r="H3" s="793"/>
      <c r="I3" s="793"/>
      <c r="J3" s="793"/>
      <c r="K3" s="793"/>
      <c r="L3" s="793"/>
      <c r="M3" s="794"/>
      <c r="N3" s="7" t="s">
        <v>3</v>
      </c>
      <c r="O3" s="792" t="s">
        <v>41</v>
      </c>
      <c r="P3" s="793"/>
      <c r="Q3" s="793"/>
      <c r="R3" s="793"/>
      <c r="S3" s="236"/>
    </row>
    <row r="4" spans="1:19" ht="24.75">
      <c r="A4" s="788"/>
      <c r="B4" s="374" t="s">
        <v>1</v>
      </c>
      <c r="C4" s="797" t="s">
        <v>12</v>
      </c>
      <c r="D4" s="797"/>
      <c r="E4" s="797"/>
      <c r="F4" s="798"/>
      <c r="G4" s="799" t="s">
        <v>7</v>
      </c>
      <c r="H4" s="797"/>
      <c r="I4" s="797"/>
      <c r="J4" s="797"/>
      <c r="K4" s="797"/>
      <c r="L4" s="797"/>
      <c r="M4" s="798"/>
      <c r="N4" s="10" t="s">
        <v>4</v>
      </c>
      <c r="O4" s="795"/>
      <c r="P4" s="796"/>
      <c r="Q4" s="796"/>
      <c r="R4" s="796"/>
      <c r="S4" s="237" t="s">
        <v>27</v>
      </c>
    </row>
    <row r="5" spans="1:19" ht="24.75">
      <c r="A5" s="788"/>
      <c r="B5" s="374" t="s">
        <v>2</v>
      </c>
      <c r="C5" s="188" t="s">
        <v>17</v>
      </c>
      <c r="D5" s="183" t="s">
        <v>18</v>
      </c>
      <c r="E5" s="183" t="s">
        <v>15</v>
      </c>
      <c r="F5" s="408" t="s">
        <v>40</v>
      </c>
      <c r="G5" s="180" t="s">
        <v>17</v>
      </c>
      <c r="H5" s="183" t="s">
        <v>20</v>
      </c>
      <c r="I5" s="185" t="s">
        <v>18</v>
      </c>
      <c r="J5" s="186" t="s">
        <v>20</v>
      </c>
      <c r="K5" s="183" t="s">
        <v>15</v>
      </c>
      <c r="L5" s="183" t="s">
        <v>40</v>
      </c>
      <c r="M5" s="181" t="s">
        <v>20</v>
      </c>
      <c r="N5" s="10" t="s">
        <v>13</v>
      </c>
      <c r="O5" s="188" t="s">
        <v>17</v>
      </c>
      <c r="P5" s="188" t="s">
        <v>18</v>
      </c>
      <c r="Q5" s="188" t="s">
        <v>15</v>
      </c>
      <c r="R5" s="409" t="s">
        <v>40</v>
      </c>
      <c r="S5" s="237" t="s">
        <v>34</v>
      </c>
    </row>
    <row r="6" spans="1:19" ht="24.75">
      <c r="A6" s="367" t="s">
        <v>49</v>
      </c>
      <c r="B6" s="375" t="s">
        <v>8</v>
      </c>
      <c r="C6" s="320">
        <v>1818</v>
      </c>
      <c r="D6" s="319">
        <v>1881</v>
      </c>
      <c r="E6" s="320"/>
      <c r="F6" s="321">
        <f>SUM(C6:D6)</f>
        <v>3699</v>
      </c>
      <c r="G6" s="322">
        <f>SUM(C6/18)</f>
        <v>101</v>
      </c>
      <c r="H6" s="323">
        <f>SUM(G6+G7*1.8)</f>
        <v>101</v>
      </c>
      <c r="I6" s="324">
        <f>SUM(D6/18)</f>
        <v>104.5</v>
      </c>
      <c r="J6" s="325">
        <f>SUM(I6+I7*1.8)</f>
        <v>104.5</v>
      </c>
      <c r="K6" s="326"/>
      <c r="L6" s="326">
        <f>SUM(F6/36)</f>
        <v>102.75</v>
      </c>
      <c r="M6" s="327">
        <f>SUM(L6+L7*1.8)</f>
        <v>102.75</v>
      </c>
      <c r="N6" s="221">
        <v>10</v>
      </c>
      <c r="O6" s="328">
        <f>SUM(H6/N6)</f>
        <v>10.1</v>
      </c>
      <c r="P6" s="329">
        <f>SUM(J6)/N6</f>
        <v>10.45</v>
      </c>
      <c r="Q6" s="330"/>
      <c r="R6" s="382">
        <f>SUM(M6/N6)</f>
        <v>10.275</v>
      </c>
      <c r="S6" s="236" t="s">
        <v>69</v>
      </c>
    </row>
    <row r="7" spans="1:19" ht="24.75">
      <c r="A7" s="368"/>
      <c r="B7" s="376" t="s">
        <v>9</v>
      </c>
      <c r="C7" s="331"/>
      <c r="D7" s="147"/>
      <c r="E7" s="331"/>
      <c r="F7" s="148"/>
      <c r="G7" s="332"/>
      <c r="H7" s="177"/>
      <c r="I7" s="248"/>
      <c r="J7" s="333"/>
      <c r="K7" s="334"/>
      <c r="L7" s="178"/>
      <c r="M7" s="179"/>
      <c r="N7" s="335"/>
      <c r="O7" s="336"/>
      <c r="P7" s="168"/>
      <c r="Q7" s="151"/>
      <c r="R7" s="337"/>
      <c r="S7" s="385"/>
    </row>
    <row r="8" spans="1:19" ht="24.75">
      <c r="A8" s="369" t="s">
        <v>5</v>
      </c>
      <c r="B8" s="377" t="s">
        <v>8</v>
      </c>
      <c r="C8" s="313">
        <v>26228</v>
      </c>
      <c r="D8" s="96">
        <v>26919</v>
      </c>
      <c r="E8" s="313"/>
      <c r="F8" s="145">
        <f>SUM(C8:D8)</f>
        <v>53147</v>
      </c>
      <c r="G8" s="314">
        <f>SUM(C8/18)</f>
        <v>1457.111111111111</v>
      </c>
      <c r="H8" s="315">
        <f>SUM(G8+G9*2)</f>
        <v>1552.4444444444443</v>
      </c>
      <c r="I8" s="249">
        <f>SUM(D8/18)</f>
        <v>1495.5</v>
      </c>
      <c r="J8" s="258">
        <f>SUM(I8+I9*2)</f>
        <v>1572.6666666666667</v>
      </c>
      <c r="K8" s="316"/>
      <c r="L8" s="317">
        <f>SUM(F8/36)</f>
        <v>1476.3055555555557</v>
      </c>
      <c r="M8" s="318">
        <f>SUM(L8+L9*2)</f>
        <v>1562.5555555555557</v>
      </c>
      <c r="N8" s="75">
        <v>67</v>
      </c>
      <c r="O8" s="98">
        <f>SUM(H8/N8)</f>
        <v>23.17081260364842</v>
      </c>
      <c r="P8" s="167">
        <f>SUM(J8)/N8</f>
        <v>23.4726368159204</v>
      </c>
      <c r="Q8" s="67"/>
      <c r="R8" s="383">
        <f>SUM(M8/N8)</f>
        <v>23.321724709784412</v>
      </c>
      <c r="S8" s="237" t="s">
        <v>70</v>
      </c>
    </row>
    <row r="9" spans="1:19" ht="24.75">
      <c r="A9" s="369"/>
      <c r="B9" s="378" t="s">
        <v>9</v>
      </c>
      <c r="C9" s="70">
        <v>572</v>
      </c>
      <c r="D9" s="71">
        <v>463</v>
      </c>
      <c r="E9" s="70"/>
      <c r="F9" s="79">
        <f>SUM(C9:D9)</f>
        <v>1035</v>
      </c>
      <c r="G9" s="84">
        <f>SUM(C9/12)</f>
        <v>47.666666666666664</v>
      </c>
      <c r="H9" s="85"/>
      <c r="I9" s="247">
        <f>SUM(D9/12)</f>
        <v>38.583333333333336</v>
      </c>
      <c r="J9" s="255"/>
      <c r="K9" s="338"/>
      <c r="L9" s="86">
        <f>SUM(F9/24)</f>
        <v>43.125</v>
      </c>
      <c r="M9" s="80"/>
      <c r="N9" s="75"/>
      <c r="O9" s="66"/>
      <c r="P9" s="164"/>
      <c r="Q9" s="67"/>
      <c r="R9" s="68"/>
      <c r="S9" s="386"/>
    </row>
    <row r="10" spans="1:19" ht="24.75">
      <c r="A10" s="367" t="s">
        <v>42</v>
      </c>
      <c r="B10" s="375" t="s">
        <v>8</v>
      </c>
      <c r="C10" s="320">
        <v>6150</v>
      </c>
      <c r="D10" s="319">
        <v>5382</v>
      </c>
      <c r="E10" s="320"/>
      <c r="F10" s="321">
        <f aca="true" t="shared" si="0" ref="F10:F27">SUM(C10:D10)</f>
        <v>11532</v>
      </c>
      <c r="G10" s="339">
        <f>SUM(C10/18)</f>
        <v>341.6666666666667</v>
      </c>
      <c r="H10" s="323">
        <f>SUM(G10+G11*2)</f>
        <v>361.1666666666667</v>
      </c>
      <c r="I10" s="324">
        <f>SUM(D10/18)</f>
        <v>299</v>
      </c>
      <c r="J10" s="325">
        <f>SUM(I10+I11*2)</f>
        <v>313.5</v>
      </c>
      <c r="K10" s="340"/>
      <c r="L10" s="326">
        <f>SUM(F10/36)</f>
        <v>320.3333333333333</v>
      </c>
      <c r="M10" s="327">
        <f>SUM(L10+L11*2)</f>
        <v>337.3333333333333</v>
      </c>
      <c r="N10" s="221">
        <v>21</v>
      </c>
      <c r="O10" s="328">
        <f>SUM(H10/N10)</f>
        <v>17.1984126984127</v>
      </c>
      <c r="P10" s="329">
        <f>SUM(J10)/N10</f>
        <v>14.928571428571429</v>
      </c>
      <c r="Q10" s="224"/>
      <c r="R10" s="382">
        <f>SUM(M10/N10)</f>
        <v>16.063492063492063</v>
      </c>
      <c r="S10" s="236" t="s">
        <v>70</v>
      </c>
    </row>
    <row r="11" spans="1:19" ht="24.75">
      <c r="A11" s="369"/>
      <c r="B11" s="378" t="s">
        <v>9</v>
      </c>
      <c r="C11" s="70">
        <v>117</v>
      </c>
      <c r="D11" s="71">
        <v>87</v>
      </c>
      <c r="E11" s="70"/>
      <c r="F11" s="79">
        <f t="shared" si="0"/>
        <v>204</v>
      </c>
      <c r="G11" s="84">
        <f>SUM(C11/12)</f>
        <v>9.75</v>
      </c>
      <c r="H11" s="85"/>
      <c r="I11" s="247">
        <f>SUM(D11/12)</f>
        <v>7.25</v>
      </c>
      <c r="J11" s="255"/>
      <c r="K11" s="338"/>
      <c r="L11" s="86">
        <f>SUM(F11/24)</f>
        <v>8.5</v>
      </c>
      <c r="M11" s="80"/>
      <c r="N11" s="75"/>
      <c r="O11" s="66"/>
      <c r="P11" s="164"/>
      <c r="Q11" s="67"/>
      <c r="R11" s="68"/>
      <c r="S11" s="386"/>
    </row>
    <row r="12" spans="1:19" ht="24.75">
      <c r="A12" s="367" t="s">
        <v>6</v>
      </c>
      <c r="B12" s="375" t="s">
        <v>8</v>
      </c>
      <c r="C12" s="320">
        <v>49264</v>
      </c>
      <c r="D12" s="319">
        <v>38835</v>
      </c>
      <c r="E12" s="320"/>
      <c r="F12" s="321">
        <f t="shared" si="0"/>
        <v>88099</v>
      </c>
      <c r="G12" s="339">
        <f>SUM(C12/18)</f>
        <v>2736.8888888888887</v>
      </c>
      <c r="H12" s="323">
        <f>SUM(G12+G13*2)</f>
        <v>2822.3888888888887</v>
      </c>
      <c r="I12" s="324">
        <f>SUM(D12/18)</f>
        <v>2157.5</v>
      </c>
      <c r="J12" s="325">
        <f>SUM(I12+I13*2)</f>
        <v>2228</v>
      </c>
      <c r="K12" s="340"/>
      <c r="L12" s="326">
        <f>SUM(F12/36)</f>
        <v>2447.1944444444443</v>
      </c>
      <c r="M12" s="327">
        <f>SUM(L12+L13*2)</f>
        <v>2525.1944444444443</v>
      </c>
      <c r="N12" s="221">
        <v>122</v>
      </c>
      <c r="O12" s="328">
        <f>SUM(H12/N12)</f>
        <v>23.134335154826957</v>
      </c>
      <c r="P12" s="329">
        <f>SUM(J12)/N12</f>
        <v>18.262295081967213</v>
      </c>
      <c r="Q12" s="224"/>
      <c r="R12" s="382">
        <f>SUM(M12/N12)</f>
        <v>20.698315118397083</v>
      </c>
      <c r="S12" s="236" t="s">
        <v>70</v>
      </c>
    </row>
    <row r="13" spans="1:19" ht="24.75">
      <c r="A13" s="368"/>
      <c r="B13" s="379" t="s">
        <v>9</v>
      </c>
      <c r="C13" s="341">
        <v>513</v>
      </c>
      <c r="D13" s="173">
        <v>423</v>
      </c>
      <c r="E13" s="341"/>
      <c r="F13" s="175">
        <f t="shared" si="0"/>
        <v>936</v>
      </c>
      <c r="G13" s="176">
        <f>SUM(C13/12)</f>
        <v>42.75</v>
      </c>
      <c r="H13" s="177"/>
      <c r="I13" s="248">
        <f>SUM(D13/12)</f>
        <v>35.25</v>
      </c>
      <c r="J13" s="333"/>
      <c r="K13" s="334"/>
      <c r="L13" s="178">
        <f>SUM(F13/24)</f>
        <v>39</v>
      </c>
      <c r="M13" s="179"/>
      <c r="N13" s="149"/>
      <c r="O13" s="342"/>
      <c r="P13" s="168"/>
      <c r="Q13" s="151"/>
      <c r="R13" s="337"/>
      <c r="S13" s="385"/>
    </row>
    <row r="14" spans="1:19" ht="24.75">
      <c r="A14" s="369" t="s">
        <v>10</v>
      </c>
      <c r="B14" s="377" t="s">
        <v>8</v>
      </c>
      <c r="C14" s="313">
        <v>8586</v>
      </c>
      <c r="D14" s="96">
        <v>7749</v>
      </c>
      <c r="E14" s="313"/>
      <c r="F14" s="145">
        <f t="shared" si="0"/>
        <v>16335</v>
      </c>
      <c r="G14" s="314">
        <f>SUM(C14/18)</f>
        <v>477</v>
      </c>
      <c r="H14" s="315">
        <f>SUM(G14+G15*2)</f>
        <v>495</v>
      </c>
      <c r="I14" s="249">
        <f>SUM(D14/18)</f>
        <v>430.5</v>
      </c>
      <c r="J14" s="258">
        <f>SUM(I14+I15*2)</f>
        <v>450.1666666666667</v>
      </c>
      <c r="K14" s="316"/>
      <c r="L14" s="317">
        <f>SUM(F14/36)</f>
        <v>453.75</v>
      </c>
      <c r="M14" s="318">
        <f>SUM(L14+L15*2)</f>
        <v>472.5833333333333</v>
      </c>
      <c r="N14" s="75">
        <v>46</v>
      </c>
      <c r="O14" s="98">
        <f>SUM(H14/N14)</f>
        <v>10.76086956521739</v>
      </c>
      <c r="P14" s="167">
        <f>SUM(J14)/N14</f>
        <v>9.78623188405797</v>
      </c>
      <c r="Q14" s="67"/>
      <c r="R14" s="383">
        <f>SUM(M14/N14)</f>
        <v>10.273550724637682</v>
      </c>
      <c r="S14" s="237" t="s">
        <v>70</v>
      </c>
    </row>
    <row r="15" spans="1:19" ht="24.75">
      <c r="A15" s="369" t="s">
        <v>14</v>
      </c>
      <c r="B15" s="378" t="s">
        <v>9</v>
      </c>
      <c r="C15" s="70">
        <v>108</v>
      </c>
      <c r="D15" s="71">
        <v>118</v>
      </c>
      <c r="E15" s="70"/>
      <c r="F15" s="79">
        <f t="shared" si="0"/>
        <v>226</v>
      </c>
      <c r="G15" s="84">
        <f>SUM(C15/12)</f>
        <v>9</v>
      </c>
      <c r="H15" s="85"/>
      <c r="I15" s="247">
        <f>SUM(D15/12)</f>
        <v>9.833333333333334</v>
      </c>
      <c r="J15" s="255"/>
      <c r="K15" s="338"/>
      <c r="L15" s="86">
        <f>SUM(F15/24)</f>
        <v>9.416666666666666</v>
      </c>
      <c r="M15" s="80"/>
      <c r="N15" s="75"/>
      <c r="O15" s="66"/>
      <c r="P15" s="164"/>
      <c r="Q15" s="67"/>
      <c r="R15" s="68"/>
      <c r="S15" s="386"/>
    </row>
    <row r="16" spans="1:19" ht="24.75">
      <c r="A16" s="367" t="s">
        <v>22</v>
      </c>
      <c r="B16" s="375" t="s">
        <v>8</v>
      </c>
      <c r="C16" s="320">
        <v>34467</v>
      </c>
      <c r="D16" s="319">
        <v>35424</v>
      </c>
      <c r="E16" s="320"/>
      <c r="F16" s="321">
        <f>SUM(C16:D16)</f>
        <v>69891</v>
      </c>
      <c r="G16" s="339">
        <f>SUM(C16/18)</f>
        <v>1914.8333333333333</v>
      </c>
      <c r="H16" s="323">
        <f>SUM(G16+G17*1.8)</f>
        <v>1969.4333333333332</v>
      </c>
      <c r="I16" s="324">
        <f>SUM(D16/18)</f>
        <v>1968</v>
      </c>
      <c r="J16" s="325">
        <f>SUM(I16+I17*1.8)</f>
        <v>1995.6</v>
      </c>
      <c r="K16" s="340"/>
      <c r="L16" s="326">
        <f>SUM(F16/36)</f>
        <v>1941.4166666666667</v>
      </c>
      <c r="M16" s="327">
        <f>SUM(L16+L17*1.8)</f>
        <v>1968.7166666666667</v>
      </c>
      <c r="N16" s="221">
        <v>45</v>
      </c>
      <c r="O16" s="328">
        <f>SUM(H16/N16)</f>
        <v>43.76518518518518</v>
      </c>
      <c r="P16" s="329">
        <f>SUM(J16/N16)</f>
        <v>44.346666666666664</v>
      </c>
      <c r="Q16" s="224"/>
      <c r="R16" s="382">
        <f>SUM(M16/N16)</f>
        <v>43.74925925925926</v>
      </c>
      <c r="S16" s="236" t="s">
        <v>69</v>
      </c>
    </row>
    <row r="17" spans="1:19" ht="24.75">
      <c r="A17" s="369"/>
      <c r="B17" s="378" t="s">
        <v>9</v>
      </c>
      <c r="C17" s="70">
        <v>180</v>
      </c>
      <c r="D17" s="71">
        <v>184</v>
      </c>
      <c r="E17" s="70"/>
      <c r="F17" s="79">
        <f t="shared" si="0"/>
        <v>364</v>
      </c>
      <c r="G17" s="84">
        <f>F17/12</f>
        <v>30.333333333333332</v>
      </c>
      <c r="H17" s="85"/>
      <c r="I17" s="247">
        <f>D17/12</f>
        <v>15.333333333333334</v>
      </c>
      <c r="J17" s="255"/>
      <c r="K17" s="338"/>
      <c r="L17" s="86">
        <f>F17/24</f>
        <v>15.166666666666666</v>
      </c>
      <c r="M17" s="80"/>
      <c r="N17" s="75"/>
      <c r="O17" s="66"/>
      <c r="P17" s="166"/>
      <c r="Q17" s="67"/>
      <c r="R17" s="81"/>
      <c r="S17" s="386"/>
    </row>
    <row r="18" spans="1:19" ht="24.75">
      <c r="A18" s="367" t="s">
        <v>23</v>
      </c>
      <c r="B18" s="375" t="s">
        <v>8</v>
      </c>
      <c r="C18" s="320">
        <v>14637</v>
      </c>
      <c r="D18" s="319">
        <v>11811</v>
      </c>
      <c r="E18" s="320"/>
      <c r="F18" s="321">
        <f t="shared" si="0"/>
        <v>26448</v>
      </c>
      <c r="G18" s="339">
        <f>SUM(C18/18)</f>
        <v>813.1666666666666</v>
      </c>
      <c r="H18" s="323">
        <f>SUM(G18+G19*1.8)</f>
        <v>829.0666666666666</v>
      </c>
      <c r="I18" s="324">
        <f>SUM(D18/18)</f>
        <v>656.1666666666666</v>
      </c>
      <c r="J18" s="325">
        <f>SUM(I18+I19*1.8)</f>
        <v>668.7666666666667</v>
      </c>
      <c r="K18" s="340"/>
      <c r="L18" s="326">
        <f>SUM(F18/36)</f>
        <v>734.6666666666666</v>
      </c>
      <c r="M18" s="327">
        <f>SUM(L18+L19*1.8)</f>
        <v>748.9166666666666</v>
      </c>
      <c r="N18" s="221">
        <v>30</v>
      </c>
      <c r="O18" s="328">
        <f>SUM(H18/N18)</f>
        <v>27.635555555555552</v>
      </c>
      <c r="P18" s="329">
        <f>SUM(J18/N18)</f>
        <v>22.29222222222222</v>
      </c>
      <c r="Q18" s="224"/>
      <c r="R18" s="382">
        <f>SUM(M18/N18)</f>
        <v>24.96388888888889</v>
      </c>
      <c r="S18" s="236" t="s">
        <v>69</v>
      </c>
    </row>
    <row r="19" spans="1:19" ht="24.75">
      <c r="A19" s="370"/>
      <c r="B19" s="379" t="s">
        <v>9</v>
      </c>
      <c r="C19" s="341">
        <v>106</v>
      </c>
      <c r="D19" s="173">
        <v>84</v>
      </c>
      <c r="E19" s="341"/>
      <c r="F19" s="175">
        <f t="shared" si="0"/>
        <v>190</v>
      </c>
      <c r="G19" s="176">
        <f>SUM(C19/12)</f>
        <v>8.833333333333334</v>
      </c>
      <c r="H19" s="177"/>
      <c r="I19" s="248">
        <f>SUM(D19/12)</f>
        <v>7</v>
      </c>
      <c r="J19" s="333"/>
      <c r="K19" s="334"/>
      <c r="L19" s="178">
        <f>SUM(F19/24)</f>
        <v>7.916666666666667</v>
      </c>
      <c r="M19" s="179"/>
      <c r="N19" s="149"/>
      <c r="O19" s="342"/>
      <c r="P19" s="168"/>
      <c r="Q19" s="151"/>
      <c r="R19" s="344"/>
      <c r="S19" s="385"/>
    </row>
    <row r="20" spans="1:19" ht="24.75">
      <c r="A20" s="369" t="s">
        <v>28</v>
      </c>
      <c r="B20" s="377" t="s">
        <v>8</v>
      </c>
      <c r="C20" s="313">
        <v>8894</v>
      </c>
      <c r="D20" s="96">
        <v>10770</v>
      </c>
      <c r="E20" s="313"/>
      <c r="F20" s="145">
        <f t="shared" si="0"/>
        <v>19664</v>
      </c>
      <c r="G20" s="314">
        <f>SUM(C20/18)</f>
        <v>494.1111111111111</v>
      </c>
      <c r="H20" s="315">
        <f>SUM(G20+G21*1.8)</f>
        <v>592.661111111111</v>
      </c>
      <c r="I20" s="249">
        <f>SUM(D20/18)</f>
        <v>598.3333333333334</v>
      </c>
      <c r="J20" s="258">
        <f>SUM(I20+I21*1.8)</f>
        <v>677.2333333333333</v>
      </c>
      <c r="K20" s="316"/>
      <c r="L20" s="317">
        <f>SUM(F20/36)</f>
        <v>546.2222222222222</v>
      </c>
      <c r="M20" s="318">
        <f>SUM(L20+L21*1.8)</f>
        <v>634.9472222222222</v>
      </c>
      <c r="N20" s="75">
        <v>21</v>
      </c>
      <c r="O20" s="98">
        <f>SUM(H20/N20)</f>
        <v>28.221957671957668</v>
      </c>
      <c r="P20" s="167">
        <f>SUM(J20/N20)</f>
        <v>32.24920634920635</v>
      </c>
      <c r="Q20" s="67"/>
      <c r="R20" s="383">
        <f>SUM(M20/N20)</f>
        <v>30.23558201058201</v>
      </c>
      <c r="S20" s="237" t="s">
        <v>69</v>
      </c>
    </row>
    <row r="21" spans="1:19" ht="24.75">
      <c r="A21" s="369"/>
      <c r="B21" s="378" t="s">
        <v>9</v>
      </c>
      <c r="C21" s="70">
        <v>657</v>
      </c>
      <c r="D21" s="71">
        <v>526</v>
      </c>
      <c r="E21" s="70"/>
      <c r="F21" s="79">
        <f t="shared" si="0"/>
        <v>1183</v>
      </c>
      <c r="G21" s="84">
        <f>SUM(C21/12)</f>
        <v>54.75</v>
      </c>
      <c r="H21" s="85"/>
      <c r="I21" s="247">
        <f>SUM(D21/12)</f>
        <v>43.833333333333336</v>
      </c>
      <c r="J21" s="255"/>
      <c r="K21" s="338"/>
      <c r="L21" s="86">
        <f>SUM(F21/24)</f>
        <v>49.291666666666664</v>
      </c>
      <c r="M21" s="80"/>
      <c r="N21" s="345"/>
      <c r="O21" s="346"/>
      <c r="P21" s="164"/>
      <c r="Q21" s="67"/>
      <c r="R21" s="81"/>
      <c r="S21" s="386"/>
    </row>
    <row r="22" spans="1:19" ht="24.75">
      <c r="A22" s="367" t="s">
        <v>24</v>
      </c>
      <c r="B22" s="375" t="s">
        <v>8</v>
      </c>
      <c r="C22" s="320">
        <v>62102</v>
      </c>
      <c r="D22" s="319">
        <v>50147</v>
      </c>
      <c r="E22" s="320"/>
      <c r="F22" s="321">
        <f t="shared" si="0"/>
        <v>112249</v>
      </c>
      <c r="G22" s="339">
        <f>SUM(C22/18)</f>
        <v>3450.1111111111113</v>
      </c>
      <c r="H22" s="323">
        <f>SUM(G22+G23*1.8)</f>
        <v>3469.6111111111113</v>
      </c>
      <c r="I22" s="324">
        <f>SUM(D22/18)</f>
        <v>2785.9444444444443</v>
      </c>
      <c r="J22" s="325">
        <f>SUM(I22+I23*1.8)</f>
        <v>2801.6944444444443</v>
      </c>
      <c r="K22" s="340"/>
      <c r="L22" s="326">
        <f>SUM(F22/36)</f>
        <v>3118.027777777778</v>
      </c>
      <c r="M22" s="327">
        <f>SUM(L22+L23*1.8)</f>
        <v>3135.652777777778</v>
      </c>
      <c r="N22" s="221">
        <v>71</v>
      </c>
      <c r="O22" s="328">
        <f>SUM(H22/N22)</f>
        <v>48.86776212832551</v>
      </c>
      <c r="P22" s="329">
        <f>SUM(J22/N22)</f>
        <v>39.46048513302034</v>
      </c>
      <c r="Q22" s="224"/>
      <c r="R22" s="382">
        <f>SUM(M22/N22)</f>
        <v>44.164123630672925</v>
      </c>
      <c r="S22" s="236" t="s">
        <v>69</v>
      </c>
    </row>
    <row r="23" spans="1:19" ht="24.75">
      <c r="A23" s="368"/>
      <c r="B23" s="379" t="s">
        <v>9</v>
      </c>
      <c r="C23" s="341">
        <v>130</v>
      </c>
      <c r="D23" s="173">
        <v>105</v>
      </c>
      <c r="E23" s="341"/>
      <c r="F23" s="175">
        <f t="shared" si="0"/>
        <v>235</v>
      </c>
      <c r="G23" s="176">
        <f>SUM(C23/12)</f>
        <v>10.833333333333334</v>
      </c>
      <c r="H23" s="177"/>
      <c r="I23" s="248">
        <f>SUM(D23/12)</f>
        <v>8.75</v>
      </c>
      <c r="J23" s="333"/>
      <c r="K23" s="334"/>
      <c r="L23" s="178">
        <f>SUM(F23/24)</f>
        <v>9.791666666666666</v>
      </c>
      <c r="M23" s="179"/>
      <c r="N23" s="149"/>
      <c r="O23" s="342"/>
      <c r="P23" s="343"/>
      <c r="Q23" s="151"/>
      <c r="R23" s="344"/>
      <c r="S23" s="385"/>
    </row>
    <row r="24" spans="1:19" ht="24.75">
      <c r="A24" s="369" t="s">
        <v>25</v>
      </c>
      <c r="B24" s="377" t="s">
        <v>8</v>
      </c>
      <c r="C24" s="313">
        <v>6847</v>
      </c>
      <c r="D24" s="96">
        <v>7678</v>
      </c>
      <c r="E24" s="313"/>
      <c r="F24" s="145">
        <f t="shared" si="0"/>
        <v>14525</v>
      </c>
      <c r="G24" s="314">
        <f>SUM(C24/18)</f>
        <v>380.3888888888889</v>
      </c>
      <c r="H24" s="315">
        <f>SUM(G24+G25*2)</f>
        <v>411.0555555555556</v>
      </c>
      <c r="I24" s="249">
        <f>SUM(D24/18)</f>
        <v>426.55555555555554</v>
      </c>
      <c r="J24" s="258">
        <f>SUM(I24+I25*2)</f>
        <v>455.38888888888886</v>
      </c>
      <c r="K24" s="316"/>
      <c r="L24" s="317">
        <f>SUM(F24/36)</f>
        <v>403.47222222222223</v>
      </c>
      <c r="M24" s="318">
        <f>SUM(L24+L25*2)</f>
        <v>433.22222222222223</v>
      </c>
      <c r="N24" s="75">
        <v>20</v>
      </c>
      <c r="O24" s="98">
        <f>SUM(H24/N24)</f>
        <v>20.55277777777778</v>
      </c>
      <c r="P24" s="167">
        <f>SUM(J24/N24)</f>
        <v>22.769444444444442</v>
      </c>
      <c r="Q24" s="67"/>
      <c r="R24" s="383">
        <f>SUM(M24/N24)</f>
        <v>21.66111111111111</v>
      </c>
      <c r="S24" s="237" t="s">
        <v>70</v>
      </c>
    </row>
    <row r="25" spans="1:19" ht="24.75">
      <c r="A25" s="369" t="s">
        <v>26</v>
      </c>
      <c r="B25" s="378" t="s">
        <v>9</v>
      </c>
      <c r="C25" s="70">
        <v>184</v>
      </c>
      <c r="D25" s="71">
        <v>173</v>
      </c>
      <c r="E25" s="70"/>
      <c r="F25" s="79">
        <f t="shared" si="0"/>
        <v>357</v>
      </c>
      <c r="G25" s="84">
        <f>SUM(C25/12)</f>
        <v>15.333333333333334</v>
      </c>
      <c r="H25" s="85"/>
      <c r="I25" s="247">
        <f>SUM(D25/12)</f>
        <v>14.416666666666666</v>
      </c>
      <c r="J25" s="255"/>
      <c r="K25" s="338"/>
      <c r="L25" s="86">
        <f>SUM(F25/24)</f>
        <v>14.875</v>
      </c>
      <c r="M25" s="80"/>
      <c r="N25" s="75"/>
      <c r="O25" s="87"/>
      <c r="P25" s="166"/>
      <c r="Q25" s="67"/>
      <c r="R25" s="81"/>
      <c r="S25" s="386"/>
    </row>
    <row r="26" spans="1:19" ht="24.75">
      <c r="A26" s="367" t="s">
        <v>30</v>
      </c>
      <c r="B26" s="375" t="s">
        <v>8</v>
      </c>
      <c r="C26" s="320">
        <v>3677</v>
      </c>
      <c r="D26" s="319">
        <v>4791</v>
      </c>
      <c r="E26" s="320"/>
      <c r="F26" s="321">
        <f t="shared" si="0"/>
        <v>8468</v>
      </c>
      <c r="G26" s="339">
        <f>SUM(C26/18)</f>
        <v>204.27777777777777</v>
      </c>
      <c r="H26" s="323">
        <f>SUM(G26+G27*1)</f>
        <v>224.61111111111111</v>
      </c>
      <c r="I26" s="324">
        <f>SUM(D26/18)</f>
        <v>266.1666666666667</v>
      </c>
      <c r="J26" s="325">
        <f>SUM(I26+I27*1)</f>
        <v>276.25</v>
      </c>
      <c r="K26" s="340"/>
      <c r="L26" s="326">
        <f>SUM(F26/36)</f>
        <v>235.22222222222223</v>
      </c>
      <c r="M26" s="327">
        <f>SUM(L26+L27*1)</f>
        <v>245.38888888888889</v>
      </c>
      <c r="N26" s="221">
        <v>31</v>
      </c>
      <c r="O26" s="328">
        <f>SUM(H26/N26)</f>
        <v>7.245519713261649</v>
      </c>
      <c r="P26" s="329">
        <f>SUM(J26/N26)</f>
        <v>8.911290322580646</v>
      </c>
      <c r="Q26" s="224"/>
      <c r="R26" s="382">
        <f>SUM(M26/N26)</f>
        <v>7.915770609318996</v>
      </c>
      <c r="S26" s="236" t="s">
        <v>71</v>
      </c>
    </row>
    <row r="27" spans="1:19" ht="24.75">
      <c r="A27" s="368" t="s">
        <v>31</v>
      </c>
      <c r="B27" s="379" t="s">
        <v>9</v>
      </c>
      <c r="C27" s="341">
        <v>123</v>
      </c>
      <c r="D27" s="173">
        <v>121</v>
      </c>
      <c r="E27" s="341"/>
      <c r="F27" s="175">
        <f t="shared" si="0"/>
        <v>244</v>
      </c>
      <c r="G27" s="176">
        <f>F27/12</f>
        <v>20.333333333333332</v>
      </c>
      <c r="H27" s="177"/>
      <c r="I27" s="248">
        <f>D27/12</f>
        <v>10.083333333333334</v>
      </c>
      <c r="J27" s="333"/>
      <c r="K27" s="334"/>
      <c r="L27" s="178">
        <f>SUM(F27/24)</f>
        <v>10.166666666666666</v>
      </c>
      <c r="M27" s="179"/>
      <c r="N27" s="335"/>
      <c r="O27" s="336"/>
      <c r="P27" s="168"/>
      <c r="Q27" s="151"/>
      <c r="R27" s="344"/>
      <c r="S27" s="385"/>
    </row>
    <row r="28" spans="1:19" ht="24.75">
      <c r="A28" s="369" t="s">
        <v>38</v>
      </c>
      <c r="B28" s="377" t="s">
        <v>8</v>
      </c>
      <c r="C28" s="313">
        <v>35575</v>
      </c>
      <c r="D28" s="96">
        <v>31063</v>
      </c>
      <c r="E28" s="313"/>
      <c r="F28" s="145">
        <f aca="true" t="shared" si="1" ref="F28:F35">SUM(C28:D28)</f>
        <v>66638</v>
      </c>
      <c r="G28" s="314">
        <f>SUM(C28/18)</f>
        <v>1976.388888888889</v>
      </c>
      <c r="H28" s="315">
        <f>SUM(G28)</f>
        <v>1976.388888888889</v>
      </c>
      <c r="I28" s="249">
        <f>SUM(D28/18)</f>
        <v>1725.7222222222222</v>
      </c>
      <c r="J28" s="258">
        <f>I28</f>
        <v>1725.7222222222222</v>
      </c>
      <c r="K28" s="316"/>
      <c r="L28" s="317">
        <f>SUM(F28/36)</f>
        <v>1851.0555555555557</v>
      </c>
      <c r="M28" s="318">
        <f>SUM(L28)</f>
        <v>1851.0555555555557</v>
      </c>
      <c r="N28" s="75">
        <v>95</v>
      </c>
      <c r="O28" s="98">
        <f>SUM(H28/N28)</f>
        <v>20.804093567251464</v>
      </c>
      <c r="P28" s="167">
        <f>SUM(J28/N28)</f>
        <v>18.165497076023392</v>
      </c>
      <c r="Q28" s="67"/>
      <c r="R28" s="383">
        <f>SUM(M28/N28)</f>
        <v>19.484795321637428</v>
      </c>
      <c r="S28" s="386"/>
    </row>
    <row r="29" spans="1:19" ht="24.75">
      <c r="A29" s="369" t="s">
        <v>16</v>
      </c>
      <c r="B29" s="378" t="s">
        <v>9</v>
      </c>
      <c r="C29" s="70">
        <v>0</v>
      </c>
      <c r="D29" s="71">
        <v>0</v>
      </c>
      <c r="E29" s="70"/>
      <c r="F29" s="79">
        <f t="shared" si="1"/>
        <v>0</v>
      </c>
      <c r="G29" s="84"/>
      <c r="H29" s="85"/>
      <c r="I29" s="247"/>
      <c r="J29" s="255"/>
      <c r="K29" s="338"/>
      <c r="L29" s="86"/>
      <c r="M29" s="80"/>
      <c r="N29" s="75"/>
      <c r="O29" s="66"/>
      <c r="P29" s="164"/>
      <c r="Q29" s="67"/>
      <c r="R29" s="68"/>
      <c r="S29" s="386"/>
    </row>
    <row r="30" spans="1:19" ht="24.75">
      <c r="A30" s="367" t="s">
        <v>19</v>
      </c>
      <c r="B30" s="375" t="s">
        <v>8</v>
      </c>
      <c r="C30" s="320">
        <v>9963</v>
      </c>
      <c r="D30" s="319">
        <v>9031</v>
      </c>
      <c r="E30" s="320"/>
      <c r="F30" s="321">
        <f t="shared" si="1"/>
        <v>18994</v>
      </c>
      <c r="G30" s="339">
        <f>SUM(C30/18)</f>
        <v>553.5</v>
      </c>
      <c r="H30" s="323">
        <f>SUM(G30)</f>
        <v>553.5</v>
      </c>
      <c r="I30" s="324">
        <f>SUM(D30/18)</f>
        <v>501.72222222222223</v>
      </c>
      <c r="J30" s="325">
        <f>I30</f>
        <v>501.72222222222223</v>
      </c>
      <c r="K30" s="326"/>
      <c r="L30" s="326">
        <f>SUM(F30/36)</f>
        <v>527.6111111111111</v>
      </c>
      <c r="M30" s="327">
        <f>SUM(L30)</f>
        <v>527.6111111111111</v>
      </c>
      <c r="N30" s="221">
        <v>30</v>
      </c>
      <c r="O30" s="328">
        <f>SUM(H30/N30)</f>
        <v>18.45</v>
      </c>
      <c r="P30" s="329">
        <f>SUM(J30/N30)</f>
        <v>16.724074074074075</v>
      </c>
      <c r="Q30" s="224"/>
      <c r="R30" s="382">
        <f>SUM(M30/N30)</f>
        <v>17.587037037037035</v>
      </c>
      <c r="S30" s="387"/>
    </row>
    <row r="31" spans="1:19" ht="24.75">
      <c r="A31" s="368"/>
      <c r="B31" s="379" t="s">
        <v>48</v>
      </c>
      <c r="C31" s="341">
        <v>0</v>
      </c>
      <c r="D31" s="173">
        <v>0</v>
      </c>
      <c r="E31" s="341"/>
      <c r="F31" s="175">
        <f t="shared" si="1"/>
        <v>0</v>
      </c>
      <c r="G31" s="176"/>
      <c r="H31" s="177"/>
      <c r="I31" s="248"/>
      <c r="J31" s="333"/>
      <c r="K31" s="178"/>
      <c r="L31" s="178"/>
      <c r="M31" s="179"/>
      <c r="N31" s="149"/>
      <c r="O31" s="150"/>
      <c r="P31" s="168"/>
      <c r="Q31" s="151"/>
      <c r="R31" s="344"/>
      <c r="S31" s="385"/>
    </row>
    <row r="32" spans="1:19" ht="24.75">
      <c r="A32" s="369" t="s">
        <v>29</v>
      </c>
      <c r="B32" s="377" t="s">
        <v>8</v>
      </c>
      <c r="C32" s="313">
        <v>9735</v>
      </c>
      <c r="D32" s="96">
        <v>7908</v>
      </c>
      <c r="E32" s="97"/>
      <c r="F32" s="145">
        <f t="shared" si="1"/>
        <v>17643</v>
      </c>
      <c r="G32" s="314">
        <f>SUM(C32/18)</f>
        <v>540.8333333333334</v>
      </c>
      <c r="H32" s="315">
        <f>SUM(G32+G33*1.8)</f>
        <v>595.5833333333334</v>
      </c>
      <c r="I32" s="249">
        <f>SUM(D32/18)</f>
        <v>439.3333333333333</v>
      </c>
      <c r="J32" s="258">
        <f>SUM(I32+I33*1.8)</f>
        <v>500.0833333333333</v>
      </c>
      <c r="K32" s="317"/>
      <c r="L32" s="317">
        <f>SUM(F32/36)</f>
        <v>490.0833333333333</v>
      </c>
      <c r="M32" s="318">
        <f>SUM(L32+L33*1.8)</f>
        <v>547.8333333333334</v>
      </c>
      <c r="N32" s="75">
        <v>24</v>
      </c>
      <c r="O32" s="98">
        <f>SUM(H32/N32)</f>
        <v>24.815972222222225</v>
      </c>
      <c r="P32" s="167">
        <f>SUM(J32/N32)</f>
        <v>20.836805555555554</v>
      </c>
      <c r="Q32" s="67"/>
      <c r="R32" s="383">
        <f>SUM(M32/N32)</f>
        <v>22.82638888888889</v>
      </c>
      <c r="S32" s="237" t="s">
        <v>69</v>
      </c>
    </row>
    <row r="33" spans="1:19" ht="24.75">
      <c r="A33" s="368"/>
      <c r="B33" s="379" t="s">
        <v>48</v>
      </c>
      <c r="C33" s="341">
        <v>365</v>
      </c>
      <c r="D33" s="173">
        <v>405</v>
      </c>
      <c r="E33" s="174"/>
      <c r="F33" s="175">
        <f t="shared" si="1"/>
        <v>770</v>
      </c>
      <c r="G33" s="176">
        <f>SUM(C33/12)</f>
        <v>30.416666666666668</v>
      </c>
      <c r="H33" s="177"/>
      <c r="I33" s="248">
        <f>SUM(D33/12)</f>
        <v>33.75</v>
      </c>
      <c r="J33" s="256"/>
      <c r="K33" s="178"/>
      <c r="L33" s="178">
        <f>SUM(F33/24)</f>
        <v>32.083333333333336</v>
      </c>
      <c r="M33" s="179"/>
      <c r="N33" s="149"/>
      <c r="O33" s="150"/>
      <c r="P33" s="168"/>
      <c r="Q33" s="151"/>
      <c r="R33" s="344"/>
      <c r="S33" s="385"/>
    </row>
    <row r="34" spans="1:19" ht="24.75">
      <c r="A34" s="369" t="s">
        <v>78</v>
      </c>
      <c r="B34" s="377" t="s">
        <v>8</v>
      </c>
      <c r="C34" s="313">
        <v>4036</v>
      </c>
      <c r="D34" s="96">
        <v>2238</v>
      </c>
      <c r="E34" s="97"/>
      <c r="F34" s="145">
        <f t="shared" si="1"/>
        <v>6274</v>
      </c>
      <c r="G34" s="314">
        <f>SUM(C34/18)</f>
        <v>224.22222222222223</v>
      </c>
      <c r="H34" s="315">
        <f>SUM(G34+G35*2)</f>
        <v>281.72222222222223</v>
      </c>
      <c r="I34" s="249">
        <f>SUM(D34/18)</f>
        <v>124.33333333333333</v>
      </c>
      <c r="J34" s="258">
        <f>SUM(I34+I35*1.8)</f>
        <v>181.93333333333334</v>
      </c>
      <c r="K34" s="317"/>
      <c r="L34" s="317">
        <f>SUM(F34/36)</f>
        <v>174.27777777777777</v>
      </c>
      <c r="M34" s="318">
        <f>SUM(L34+L35*1.8)</f>
        <v>228.95277777777778</v>
      </c>
      <c r="N34" s="75">
        <v>14</v>
      </c>
      <c r="O34" s="98">
        <f>SUM(H34/N34)</f>
        <v>20.123015873015873</v>
      </c>
      <c r="P34" s="167">
        <f>SUM(J34/N34)</f>
        <v>12.995238095238095</v>
      </c>
      <c r="Q34" s="67"/>
      <c r="R34" s="383">
        <f>SUM(M34/N34)</f>
        <v>16.35376984126984</v>
      </c>
      <c r="S34" s="237" t="s">
        <v>70</v>
      </c>
    </row>
    <row r="35" spans="1:19" ht="24.75">
      <c r="A35" s="368"/>
      <c r="B35" s="379" t="s">
        <v>48</v>
      </c>
      <c r="C35" s="341">
        <v>345</v>
      </c>
      <c r="D35" s="173">
        <v>384</v>
      </c>
      <c r="E35" s="174"/>
      <c r="F35" s="175">
        <f t="shared" si="1"/>
        <v>729</v>
      </c>
      <c r="G35" s="405">
        <f>SUM(C35/12)</f>
        <v>28.75</v>
      </c>
      <c r="H35" s="402"/>
      <c r="I35" s="410">
        <f>SUM(D35/12)</f>
        <v>32</v>
      </c>
      <c r="J35" s="404"/>
      <c r="K35" s="403"/>
      <c r="L35" s="410">
        <f>SUM(F35/24)</f>
        <v>30.375</v>
      </c>
      <c r="M35" s="179"/>
      <c r="N35" s="149"/>
      <c r="O35" s="150"/>
      <c r="P35" s="168"/>
      <c r="Q35" s="151"/>
      <c r="R35" s="344"/>
      <c r="S35" s="385"/>
    </row>
    <row r="36" spans="1:19" ht="24" customHeight="1">
      <c r="A36" s="787" t="s">
        <v>64</v>
      </c>
      <c r="B36" s="183" t="s">
        <v>0</v>
      </c>
      <c r="C36" s="790" t="s">
        <v>11</v>
      </c>
      <c r="D36" s="790"/>
      <c r="E36" s="790"/>
      <c r="F36" s="791"/>
      <c r="G36" s="792" t="s">
        <v>74</v>
      </c>
      <c r="H36" s="793"/>
      <c r="I36" s="793"/>
      <c r="J36" s="793"/>
      <c r="K36" s="793"/>
      <c r="L36" s="793"/>
      <c r="M36" s="794"/>
      <c r="N36" s="7" t="s">
        <v>3</v>
      </c>
      <c r="O36" s="792" t="s">
        <v>41</v>
      </c>
      <c r="P36" s="793"/>
      <c r="Q36" s="793"/>
      <c r="R36" s="793"/>
      <c r="S36" s="236"/>
    </row>
    <row r="37" spans="1:19" ht="24.75">
      <c r="A37" s="788"/>
      <c r="B37" s="374" t="s">
        <v>1</v>
      </c>
      <c r="C37" s="797" t="s">
        <v>12</v>
      </c>
      <c r="D37" s="797"/>
      <c r="E37" s="797"/>
      <c r="F37" s="798"/>
      <c r="G37" s="799" t="s">
        <v>7</v>
      </c>
      <c r="H37" s="797"/>
      <c r="I37" s="797"/>
      <c r="J37" s="797"/>
      <c r="K37" s="797"/>
      <c r="L37" s="797"/>
      <c r="M37" s="798"/>
      <c r="N37" s="10" t="s">
        <v>4</v>
      </c>
      <c r="O37" s="795"/>
      <c r="P37" s="796"/>
      <c r="Q37" s="796"/>
      <c r="R37" s="796"/>
      <c r="S37" s="237" t="s">
        <v>27</v>
      </c>
    </row>
    <row r="38" spans="1:19" ht="24.75">
      <c r="A38" s="789"/>
      <c r="B38" s="390" t="s">
        <v>2</v>
      </c>
      <c r="C38" s="391" t="s">
        <v>17</v>
      </c>
      <c r="D38" s="392" t="s">
        <v>18</v>
      </c>
      <c r="E38" s="392" t="s">
        <v>15</v>
      </c>
      <c r="F38" s="406" t="s">
        <v>40</v>
      </c>
      <c r="G38" s="393" t="s">
        <v>17</v>
      </c>
      <c r="H38" s="392" t="s">
        <v>20</v>
      </c>
      <c r="I38" s="394" t="s">
        <v>18</v>
      </c>
      <c r="J38" s="395" t="s">
        <v>20</v>
      </c>
      <c r="K38" s="392" t="s">
        <v>15</v>
      </c>
      <c r="L38" s="392" t="s">
        <v>40</v>
      </c>
      <c r="M38" s="396" t="s">
        <v>20</v>
      </c>
      <c r="N38" s="397" t="s">
        <v>13</v>
      </c>
      <c r="O38" s="391" t="s">
        <v>17</v>
      </c>
      <c r="P38" s="391" t="s">
        <v>18</v>
      </c>
      <c r="Q38" s="391" t="s">
        <v>15</v>
      </c>
      <c r="R38" s="407" t="s">
        <v>40</v>
      </c>
      <c r="S38" s="398" t="s">
        <v>34</v>
      </c>
    </row>
    <row r="39" spans="1:19" ht="24.75">
      <c r="A39" s="369" t="s">
        <v>72</v>
      </c>
      <c r="B39" s="377" t="s">
        <v>8</v>
      </c>
      <c r="C39" s="313">
        <v>0</v>
      </c>
      <c r="D39" s="96">
        <v>0</v>
      </c>
      <c r="E39" s="97"/>
      <c r="F39" s="145">
        <f>SUM(C39:D39)</f>
        <v>0</v>
      </c>
      <c r="G39" s="314">
        <f>SUM(C39/18)</f>
        <v>0</v>
      </c>
      <c r="H39" s="315">
        <f>SUM(G39+G40*2)</f>
        <v>40.833333333333336</v>
      </c>
      <c r="I39" s="249">
        <f>SUM(D39/18)</f>
        <v>0</v>
      </c>
      <c r="J39" s="258">
        <f>SUM(I39+I40*1.8)</f>
        <v>25.8</v>
      </c>
      <c r="K39" s="317"/>
      <c r="L39" s="317">
        <f>SUM(F39/36)</f>
        <v>0</v>
      </c>
      <c r="M39" s="318">
        <f>SUM(L39+L40*2)</f>
        <v>34.75</v>
      </c>
      <c r="N39" s="75">
        <v>2</v>
      </c>
      <c r="O39" s="98"/>
      <c r="P39" s="167"/>
      <c r="Q39" s="67"/>
      <c r="R39" s="383"/>
      <c r="S39" s="237"/>
    </row>
    <row r="40" spans="1:19" ht="24.75">
      <c r="A40" s="368"/>
      <c r="B40" s="379" t="s">
        <v>48</v>
      </c>
      <c r="C40" s="341">
        <v>245</v>
      </c>
      <c r="D40" s="173">
        <v>172</v>
      </c>
      <c r="E40" s="174"/>
      <c r="F40" s="175">
        <f>SUM(C40:D40)</f>
        <v>417</v>
      </c>
      <c r="G40" s="405">
        <f>SUM(C40/12)</f>
        <v>20.416666666666668</v>
      </c>
      <c r="H40" s="402"/>
      <c r="I40" s="410">
        <f>SUM(D40/12)</f>
        <v>14.333333333333334</v>
      </c>
      <c r="J40" s="404"/>
      <c r="K40" s="403"/>
      <c r="L40" s="410">
        <f>SUM(F40/24)</f>
        <v>17.375</v>
      </c>
      <c r="M40" s="179"/>
      <c r="N40" s="149"/>
      <c r="O40" s="150"/>
      <c r="P40" s="168"/>
      <c r="Q40" s="151"/>
      <c r="R40" s="344"/>
      <c r="S40" s="385"/>
    </row>
    <row r="41" spans="1:19" ht="24.75">
      <c r="A41" s="369" t="s">
        <v>32</v>
      </c>
      <c r="B41" s="378"/>
      <c r="C41" s="92"/>
      <c r="D41" s="71"/>
      <c r="E41" s="92"/>
      <c r="F41" s="79"/>
      <c r="G41" s="84"/>
      <c r="H41" s="85"/>
      <c r="I41" s="247"/>
      <c r="J41" s="257"/>
      <c r="K41" s="86"/>
      <c r="L41" s="86"/>
      <c r="M41" s="170"/>
      <c r="N41" s="75"/>
      <c r="O41" s="87"/>
      <c r="P41" s="166"/>
      <c r="Q41" s="67"/>
      <c r="R41" s="81"/>
      <c r="S41" s="386"/>
    </row>
    <row r="42" spans="1:19" ht="24.75">
      <c r="A42" s="371" t="s">
        <v>33</v>
      </c>
      <c r="B42" s="377" t="s">
        <v>8</v>
      </c>
      <c r="C42" s="97">
        <v>441</v>
      </c>
      <c r="D42" s="96">
        <v>468</v>
      </c>
      <c r="E42" s="97"/>
      <c r="F42" s="145">
        <f>C42+D42</f>
        <v>909</v>
      </c>
      <c r="G42" s="154">
        <f>F42/18</f>
        <v>50.5</v>
      </c>
      <c r="H42" s="155">
        <v>0</v>
      </c>
      <c r="I42" s="249">
        <f>D42/18</f>
        <v>26</v>
      </c>
      <c r="J42" s="258">
        <f>I42</f>
        <v>26</v>
      </c>
      <c r="K42" s="156"/>
      <c r="L42" s="156">
        <f>F42/36</f>
        <v>25.25</v>
      </c>
      <c r="M42" s="157">
        <f>L42</f>
        <v>25.25</v>
      </c>
      <c r="N42" s="75"/>
      <c r="O42" s="98"/>
      <c r="P42" s="167"/>
      <c r="Q42" s="67"/>
      <c r="R42" s="383"/>
      <c r="S42" s="386"/>
    </row>
    <row r="43" spans="1:19" ht="24.75">
      <c r="A43" s="369"/>
      <c r="B43" s="378" t="s">
        <v>48</v>
      </c>
      <c r="C43" s="348"/>
      <c r="D43" s="347"/>
      <c r="E43" s="348"/>
      <c r="F43" s="349"/>
      <c r="G43" s="350"/>
      <c r="H43" s="351"/>
      <c r="I43" s="352"/>
      <c r="J43" s="353"/>
      <c r="K43" s="354"/>
      <c r="L43" s="354"/>
      <c r="M43" s="355"/>
      <c r="N43" s="75"/>
      <c r="O43" s="87"/>
      <c r="P43" s="164"/>
      <c r="Q43" s="67"/>
      <c r="R43" s="81"/>
      <c r="S43" s="386"/>
    </row>
    <row r="44" spans="1:19" s="2" customFormat="1" ht="24.75">
      <c r="A44" s="800" t="s">
        <v>39</v>
      </c>
      <c r="B44" s="380" t="s">
        <v>8</v>
      </c>
      <c r="C44" s="372">
        <f>SUM(C6,C8,C10,C12,C14,C16,C18,C20,C22,C24,C26,C28,C30,C32,C34,C42)</f>
        <v>282420</v>
      </c>
      <c r="D44" s="372">
        <f>SUM(D6,D8,D10,D12,D14,D16,D18,D20,D22,D24,D26,D28,D30,D32,D34,D42)</f>
        <v>252095</v>
      </c>
      <c r="E44" s="356"/>
      <c r="F44" s="356">
        <f>C44+D44</f>
        <v>534515</v>
      </c>
      <c r="G44" s="357">
        <f>SUM(C44/18)</f>
        <v>15690</v>
      </c>
      <c r="H44" s="358">
        <f>SUM(H6:H43)</f>
        <v>16276.466666666667</v>
      </c>
      <c r="I44" s="359">
        <f>SUM(D44/18)</f>
        <v>14005.277777777777</v>
      </c>
      <c r="J44" s="360">
        <f>SUM(J6:J43)</f>
        <v>14505.02777777778</v>
      </c>
      <c r="K44" s="361"/>
      <c r="L44" s="361">
        <f>SUM(F44/36)</f>
        <v>14847.638888888889</v>
      </c>
      <c r="M44" s="362">
        <f>SUM(M6:M43)</f>
        <v>15382.71388888889</v>
      </c>
      <c r="N44" s="363">
        <f>SUM(N6,N8,N10,N12,N14,N16,N18,N20,N22,N24,N26,N28,N30,N32,N34,N39)</f>
        <v>649</v>
      </c>
      <c r="O44" s="364">
        <f>SUM(H44/N44)</f>
        <v>25.079301489470982</v>
      </c>
      <c r="P44" s="365">
        <f>SUM(J44)/N44</f>
        <v>22.349811676082865</v>
      </c>
      <c r="Q44" s="366"/>
      <c r="R44" s="384">
        <f>SUM(M44/N44)</f>
        <v>23.70217856531416</v>
      </c>
      <c r="S44" s="388"/>
    </row>
    <row r="45" spans="1:19" s="2" customFormat="1" ht="24.75">
      <c r="A45" s="801"/>
      <c r="B45" s="381" t="s">
        <v>9</v>
      </c>
      <c r="C45" s="373">
        <f>SUM(C7,C9,C11,C13,C15,C17,C19,C21,C23,C25,C27,C29,C31,C33,C35,C40,C43)</f>
        <v>3645</v>
      </c>
      <c r="D45" s="373">
        <f>SUM(D7,D9,D11,D13,D15,D17,D19,D21,D23,D25,D27,D29,D31,D33,D35,D43)</f>
        <v>3073</v>
      </c>
      <c r="E45" s="114"/>
      <c r="F45" s="114">
        <f>C45+D45</f>
        <v>6718</v>
      </c>
      <c r="G45" s="115">
        <f>SUM(C45/12)</f>
        <v>303.75</v>
      </c>
      <c r="H45" s="116"/>
      <c r="I45" s="252">
        <f>SUM(D45/12)</f>
        <v>256.0833333333333</v>
      </c>
      <c r="J45" s="261"/>
      <c r="K45" s="117"/>
      <c r="L45" s="117">
        <f>SUM(F45/24)</f>
        <v>279.9166666666667</v>
      </c>
      <c r="M45" s="118"/>
      <c r="N45" s="119"/>
      <c r="O45" s="120"/>
      <c r="P45" s="121"/>
      <c r="Q45" s="121"/>
      <c r="R45" s="122"/>
      <c r="S45" s="389"/>
    </row>
    <row r="46" spans="1:19" ht="24.75">
      <c r="A46" s="124"/>
      <c r="B46" s="125"/>
      <c r="C46" s="126"/>
      <c r="D46" s="126"/>
      <c r="E46" s="126"/>
      <c r="F46" s="127"/>
      <c r="G46" s="128"/>
      <c r="H46" s="128"/>
      <c r="I46" s="128"/>
      <c r="J46" s="241"/>
      <c r="K46" s="129"/>
      <c r="L46" s="128"/>
      <c r="M46" s="128"/>
      <c r="N46" s="130"/>
      <c r="O46" s="131"/>
      <c r="P46" s="132"/>
      <c r="Q46" s="802"/>
      <c r="R46" s="802"/>
      <c r="S46" s="802"/>
    </row>
    <row r="47" spans="1:19" ht="24.75">
      <c r="A47" s="135" t="s">
        <v>21</v>
      </c>
      <c r="B47" s="135" t="s">
        <v>44</v>
      </c>
      <c r="C47" s="126"/>
      <c r="D47" s="126"/>
      <c r="E47" s="126"/>
      <c r="F47" s="127"/>
      <c r="G47" s="128"/>
      <c r="H47" s="128"/>
      <c r="I47" s="128"/>
      <c r="J47" s="241"/>
      <c r="K47" s="129"/>
      <c r="L47" s="128"/>
      <c r="M47" s="128"/>
      <c r="N47" s="130"/>
      <c r="O47" s="131"/>
      <c r="P47" s="132"/>
      <c r="Q47" s="132"/>
      <c r="R47" s="132"/>
      <c r="S47" s="134"/>
    </row>
    <row r="48" spans="1:19" ht="24.75">
      <c r="A48" s="135"/>
      <c r="B48" s="135" t="s">
        <v>63</v>
      </c>
      <c r="C48" s="126"/>
      <c r="D48" s="126"/>
      <c r="E48" s="126"/>
      <c r="F48" s="127"/>
      <c r="G48" s="128"/>
      <c r="H48" s="128"/>
      <c r="I48" s="128"/>
      <c r="J48" s="241"/>
      <c r="K48" s="129"/>
      <c r="L48" s="128"/>
      <c r="M48" s="128"/>
      <c r="N48" s="130"/>
      <c r="O48" s="131"/>
      <c r="P48" s="132"/>
      <c r="Q48" s="132"/>
      <c r="R48" s="132"/>
      <c r="S48" s="134"/>
    </row>
    <row r="49" spans="1:16" ht="24.75">
      <c r="A49" s="136"/>
      <c r="B49" s="135" t="s">
        <v>76</v>
      </c>
      <c r="C49" s="126"/>
      <c r="D49" s="126"/>
      <c r="E49" s="126"/>
      <c r="F49" s="137"/>
      <c r="G49" s="129"/>
      <c r="H49" s="138"/>
      <c r="I49" s="139"/>
      <c r="J49" s="242"/>
      <c r="K49" s="140"/>
      <c r="L49" s="141"/>
      <c r="M49" s="141"/>
      <c r="N49" s="141"/>
      <c r="O49" s="141"/>
      <c r="P49" s="140"/>
    </row>
    <row r="50" spans="1:13" ht="24.75">
      <c r="A50" s="135"/>
      <c r="B50" s="142" t="s">
        <v>77</v>
      </c>
      <c r="C50" s="135"/>
      <c r="D50" s="135"/>
      <c r="E50" s="135"/>
      <c r="F50" s="135"/>
      <c r="G50" s="129"/>
      <c r="H50" s="135"/>
      <c r="I50" s="135"/>
      <c r="J50" s="243"/>
      <c r="K50" s="135"/>
      <c r="L50" s="135"/>
      <c r="M50" s="135"/>
    </row>
    <row r="51" spans="1:13" ht="24.75">
      <c r="A51" s="135"/>
      <c r="B51" s="135"/>
      <c r="C51" s="135"/>
      <c r="D51" s="135"/>
      <c r="E51" s="135"/>
      <c r="F51" s="135"/>
      <c r="G51" s="135"/>
      <c r="H51" s="135"/>
      <c r="I51" s="135"/>
      <c r="J51" s="243"/>
      <c r="K51" s="135"/>
      <c r="L51" s="135"/>
      <c r="M51" s="135"/>
    </row>
    <row r="52" ht="24.75">
      <c r="B52" s="135"/>
    </row>
  </sheetData>
  <sheetProtection/>
  <mergeCells count="15">
    <mergeCell ref="A44:A45"/>
    <mergeCell ref="O3:R4"/>
    <mergeCell ref="A3:A5"/>
    <mergeCell ref="Q46:S46"/>
    <mergeCell ref="G3:M3"/>
    <mergeCell ref="G4:M4"/>
    <mergeCell ref="C3:F3"/>
    <mergeCell ref="C4:F4"/>
    <mergeCell ref="A1:S1"/>
    <mergeCell ref="A36:A38"/>
    <mergeCell ref="C36:F36"/>
    <mergeCell ref="G36:M36"/>
    <mergeCell ref="O36:R37"/>
    <mergeCell ref="C37:F37"/>
    <mergeCell ref="G37:M37"/>
  </mergeCells>
  <printOptions/>
  <pageMargins left="0.33" right="0.28" top="0.64" bottom="0.83" header="0.34" footer="0.21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69" zoomScaleNormal="75" zoomScaleSheetLayoutView="69" zoomScalePageLayoutView="0" workbookViewId="0" topLeftCell="A1">
      <selection activeCell="D40" sqref="D40"/>
    </sheetView>
  </sheetViews>
  <sheetFormatPr defaultColWidth="9.140625" defaultRowHeight="21.75"/>
  <cols>
    <col min="1" max="1" width="28.57421875" style="133" bestFit="1" customWidth="1"/>
    <col min="2" max="2" width="11.7109375" style="133" customWidth="1"/>
    <col min="3" max="4" width="12.140625" style="133" bestFit="1" customWidth="1"/>
    <col min="5" max="5" width="11.421875" style="133" bestFit="1" customWidth="1"/>
    <col min="6" max="6" width="17.140625" style="133" bestFit="1" customWidth="1"/>
    <col min="7" max="7" width="11.57421875" style="133" customWidth="1"/>
    <col min="8" max="8" width="11.140625" style="133" customWidth="1"/>
    <col min="9" max="9" width="12.8515625" style="133" bestFit="1" customWidth="1"/>
    <col min="10" max="10" width="12.8515625" style="244" bestFit="1" customWidth="1"/>
    <col min="11" max="11" width="11.421875" style="133" bestFit="1" customWidth="1"/>
    <col min="12" max="12" width="17.140625" style="133" bestFit="1" customWidth="1"/>
    <col min="13" max="13" width="12.140625" style="133" customWidth="1"/>
    <col min="14" max="14" width="8.8515625" style="133" customWidth="1"/>
    <col min="15" max="15" width="9.421875" style="133" bestFit="1" customWidth="1"/>
    <col min="16" max="16" width="11.140625" style="133" bestFit="1" customWidth="1"/>
    <col min="17" max="17" width="11.421875" style="133" bestFit="1" customWidth="1"/>
    <col min="18" max="18" width="17.140625" style="133" bestFit="1" customWidth="1"/>
    <col min="19" max="19" width="11.57421875" style="4" customWidth="1"/>
    <col min="20" max="16384" width="9.140625" style="1" customWidth="1"/>
  </cols>
  <sheetData>
    <row r="1" spans="1:19" ht="31.5" customHeight="1">
      <c r="A1" s="786" t="s">
        <v>53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8" ht="22.5">
      <c r="A2" s="5"/>
      <c r="B2" s="3"/>
      <c r="C2" s="3"/>
      <c r="D2" s="3"/>
      <c r="E2" s="3"/>
      <c r="F2" s="3"/>
      <c r="G2" s="3"/>
      <c r="H2" s="3"/>
      <c r="I2" s="3"/>
      <c r="J2" s="240"/>
      <c r="K2" s="3"/>
      <c r="L2" s="3"/>
      <c r="M2" s="3"/>
      <c r="N2" s="3"/>
      <c r="O2" s="3"/>
      <c r="P2" s="3"/>
      <c r="Q2" s="3"/>
      <c r="R2" s="3"/>
    </row>
    <row r="3" spans="1:19" ht="24" customHeight="1">
      <c r="A3" s="806" t="s">
        <v>45</v>
      </c>
      <c r="B3" s="6" t="s">
        <v>0</v>
      </c>
      <c r="C3" s="809" t="s">
        <v>11</v>
      </c>
      <c r="D3" s="790"/>
      <c r="E3" s="790"/>
      <c r="F3" s="791"/>
      <c r="G3" s="792" t="s">
        <v>47</v>
      </c>
      <c r="H3" s="793"/>
      <c r="I3" s="793"/>
      <c r="J3" s="793"/>
      <c r="K3" s="793"/>
      <c r="L3" s="793"/>
      <c r="M3" s="794"/>
      <c r="N3" s="7" t="s">
        <v>3</v>
      </c>
      <c r="O3" s="810" t="s">
        <v>41</v>
      </c>
      <c r="P3" s="811"/>
      <c r="Q3" s="811"/>
      <c r="R3" s="812"/>
      <c r="S3" s="8"/>
    </row>
    <row r="4" spans="1:19" ht="24.75">
      <c r="A4" s="807"/>
      <c r="B4" s="9" t="s">
        <v>1</v>
      </c>
      <c r="C4" s="816" t="s">
        <v>12</v>
      </c>
      <c r="D4" s="817"/>
      <c r="E4" s="817"/>
      <c r="F4" s="818"/>
      <c r="G4" s="799" t="s">
        <v>7</v>
      </c>
      <c r="H4" s="797"/>
      <c r="I4" s="797"/>
      <c r="J4" s="797"/>
      <c r="K4" s="797"/>
      <c r="L4" s="797"/>
      <c r="M4" s="798"/>
      <c r="N4" s="10" t="s">
        <v>4</v>
      </c>
      <c r="O4" s="813"/>
      <c r="P4" s="814"/>
      <c r="Q4" s="814"/>
      <c r="R4" s="815"/>
      <c r="S4" s="11" t="s">
        <v>27</v>
      </c>
    </row>
    <row r="5" spans="1:19" ht="25.5" thickBot="1">
      <c r="A5" s="808"/>
      <c r="B5" s="12" t="s">
        <v>2</v>
      </c>
      <c r="C5" s="13" t="s">
        <v>17</v>
      </c>
      <c r="D5" s="14" t="s">
        <v>18</v>
      </c>
      <c r="E5" s="14" t="s">
        <v>15</v>
      </c>
      <c r="F5" s="15" t="s">
        <v>40</v>
      </c>
      <c r="G5" s="16" t="s">
        <v>17</v>
      </c>
      <c r="H5" s="14" t="s">
        <v>20</v>
      </c>
      <c r="I5" s="17" t="s">
        <v>18</v>
      </c>
      <c r="J5" s="18" t="s">
        <v>20</v>
      </c>
      <c r="K5" s="14" t="s">
        <v>15</v>
      </c>
      <c r="L5" s="19" t="s">
        <v>40</v>
      </c>
      <c r="M5" s="20" t="s">
        <v>20</v>
      </c>
      <c r="N5" s="21" t="s">
        <v>13</v>
      </c>
      <c r="O5" s="22" t="s">
        <v>17</v>
      </c>
      <c r="P5" s="22" t="s">
        <v>18</v>
      </c>
      <c r="Q5" s="22" t="s">
        <v>15</v>
      </c>
      <c r="R5" s="23" t="s">
        <v>40</v>
      </c>
      <c r="S5" s="24" t="s">
        <v>34</v>
      </c>
    </row>
    <row r="6" spans="1:19" ht="24.75">
      <c r="A6" s="25" t="s">
        <v>49</v>
      </c>
      <c r="B6" s="26" t="s">
        <v>8</v>
      </c>
      <c r="C6" s="27">
        <v>2196</v>
      </c>
      <c r="D6" s="28">
        <v>2532</v>
      </c>
      <c r="E6" s="29"/>
      <c r="F6" s="30">
        <f>SUM(C6:D6)</f>
        <v>4728</v>
      </c>
      <c r="G6" s="31">
        <f>SUM(C6/18)</f>
        <v>122</v>
      </c>
      <c r="H6" s="32">
        <f>SUM(G6+G7*1.8)</f>
        <v>122</v>
      </c>
      <c r="I6" s="245">
        <f>SUM(D6/18)</f>
        <v>140.66666666666666</v>
      </c>
      <c r="J6" s="253">
        <f>SUM(I6+I7*1.8)</f>
        <v>140.66666666666666</v>
      </c>
      <c r="K6" s="33"/>
      <c r="L6" s="33">
        <f>SUM(F6/36)</f>
        <v>131.33333333333334</v>
      </c>
      <c r="M6" s="34">
        <f>SUM(L6+L7*1.8)</f>
        <v>131.33333333333334</v>
      </c>
      <c r="N6" s="35">
        <v>8</v>
      </c>
      <c r="O6" s="36">
        <f>SUM(H6/N6)</f>
        <v>15.25</v>
      </c>
      <c r="P6" s="162">
        <f>SUM(J6)/N6</f>
        <v>17.583333333333332</v>
      </c>
      <c r="Q6" s="37"/>
      <c r="R6" s="38">
        <f>SUM(M6/N6)</f>
        <v>16.416666666666668</v>
      </c>
      <c r="S6" s="39" t="s">
        <v>35</v>
      </c>
    </row>
    <row r="7" spans="1:19" ht="25.5" thickBot="1">
      <c r="A7" s="40"/>
      <c r="B7" s="41" t="s">
        <v>9</v>
      </c>
      <c r="C7" s="42"/>
      <c r="D7" s="43"/>
      <c r="E7" s="44"/>
      <c r="F7" s="45"/>
      <c r="G7" s="46"/>
      <c r="H7" s="47"/>
      <c r="I7" s="246"/>
      <c r="J7" s="254"/>
      <c r="K7" s="48"/>
      <c r="L7" s="49"/>
      <c r="M7" s="50"/>
      <c r="N7" s="51"/>
      <c r="O7" s="52"/>
      <c r="P7" s="163"/>
      <c r="Q7" s="53"/>
      <c r="R7" s="54"/>
      <c r="S7" s="55"/>
    </row>
    <row r="8" spans="1:19" s="284" customFormat="1" ht="24.75">
      <c r="A8" s="265" t="s">
        <v>5</v>
      </c>
      <c r="B8" s="266" t="s">
        <v>8</v>
      </c>
      <c r="C8" s="267">
        <v>19669</v>
      </c>
      <c r="D8" s="268">
        <v>21858</v>
      </c>
      <c r="E8" s="269"/>
      <c r="F8" s="270">
        <f>SUM(C8:D8)</f>
        <v>41527</v>
      </c>
      <c r="G8" s="271">
        <f>SUM(C8/18)</f>
        <v>1092.7222222222222</v>
      </c>
      <c r="H8" s="272">
        <f>SUM(G8+G9*2)</f>
        <v>1159.0555555555554</v>
      </c>
      <c r="I8" s="273">
        <f>SUM(D8/18)</f>
        <v>1214.3333333333333</v>
      </c>
      <c r="J8" s="274">
        <f>SUM(I8+I9*2)</f>
        <v>1247.5</v>
      </c>
      <c r="K8" s="275"/>
      <c r="L8" s="276">
        <f>SUM(F8/36)</f>
        <v>1153.5277777777778</v>
      </c>
      <c r="M8" s="277">
        <f>SUM(L8+L9*2)</f>
        <v>1203.2777777777778</v>
      </c>
      <c r="N8" s="278">
        <v>54</v>
      </c>
      <c r="O8" s="279">
        <f>SUM(H8/N8)</f>
        <v>21.463991769547324</v>
      </c>
      <c r="P8" s="280">
        <f>SUM(J8)/N8</f>
        <v>23.10185185185185</v>
      </c>
      <c r="Q8" s="281"/>
      <c r="R8" s="282">
        <f>SUM(M8/N8)</f>
        <v>22.28292181069959</v>
      </c>
      <c r="S8" s="283" t="s">
        <v>36</v>
      </c>
    </row>
    <row r="9" spans="1:19" s="284" customFormat="1" ht="25.5" thickBot="1">
      <c r="A9" s="285"/>
      <c r="B9" s="286" t="s">
        <v>9</v>
      </c>
      <c r="C9" s="287">
        <v>398</v>
      </c>
      <c r="D9" s="288">
        <v>199</v>
      </c>
      <c r="E9" s="289"/>
      <c r="F9" s="290">
        <f aca="true" t="shared" si="0" ref="F9:F17">SUM(C9:D9)</f>
        <v>597</v>
      </c>
      <c r="G9" s="291">
        <f>SUM(C9/12)</f>
        <v>33.166666666666664</v>
      </c>
      <c r="H9" s="292"/>
      <c r="I9" s="293">
        <f>SUM(D9/12)</f>
        <v>16.583333333333332</v>
      </c>
      <c r="J9" s="294"/>
      <c r="K9" s="295"/>
      <c r="L9" s="296">
        <f>SUM(F9/24)</f>
        <v>24.875</v>
      </c>
      <c r="M9" s="297"/>
      <c r="N9" s="298"/>
      <c r="O9" s="299"/>
      <c r="P9" s="300"/>
      <c r="Q9" s="301"/>
      <c r="R9" s="302"/>
      <c r="S9" s="303"/>
    </row>
    <row r="10" spans="1:19" ht="24.75">
      <c r="A10" s="25" t="s">
        <v>42</v>
      </c>
      <c r="B10" s="26" t="s">
        <v>8</v>
      </c>
      <c r="C10" s="27">
        <v>7586</v>
      </c>
      <c r="D10" s="28">
        <v>7788</v>
      </c>
      <c r="E10" s="29"/>
      <c r="F10" s="30">
        <f t="shared" si="0"/>
        <v>15374</v>
      </c>
      <c r="G10" s="56">
        <f>SUM(C10/18)</f>
        <v>421.44444444444446</v>
      </c>
      <c r="H10" s="32">
        <f>SUM(G10+G11*2)</f>
        <v>447.11111111111114</v>
      </c>
      <c r="I10" s="245">
        <f>SUM(D10/18)</f>
        <v>432.6666666666667</v>
      </c>
      <c r="J10" s="253">
        <f>SUM(I10+I11*2)</f>
        <v>455.33333333333337</v>
      </c>
      <c r="K10" s="57"/>
      <c r="L10" s="33">
        <f>SUM(F10/36)</f>
        <v>427.05555555555554</v>
      </c>
      <c r="M10" s="34">
        <f>SUM(L10+L11*2)</f>
        <v>451.22222222222223</v>
      </c>
      <c r="N10" s="35">
        <v>21</v>
      </c>
      <c r="O10" s="36">
        <f>SUM(H10/N10)</f>
        <v>21.29100529100529</v>
      </c>
      <c r="P10" s="162">
        <f>SUM(J10)/N10</f>
        <v>21.682539682539684</v>
      </c>
      <c r="Q10" s="58"/>
      <c r="R10" s="38">
        <f>SUM(M10/N10)</f>
        <v>21.486772486772487</v>
      </c>
      <c r="S10" s="39" t="s">
        <v>36</v>
      </c>
    </row>
    <row r="11" spans="1:19" ht="25.5" thickBot="1">
      <c r="A11" s="40"/>
      <c r="B11" s="59" t="s">
        <v>9</v>
      </c>
      <c r="C11" s="60">
        <v>154</v>
      </c>
      <c r="D11" s="61">
        <v>136</v>
      </c>
      <c r="E11" s="62"/>
      <c r="F11" s="63">
        <f t="shared" si="0"/>
        <v>290</v>
      </c>
      <c r="G11" s="64">
        <f>SUM(C11/12)</f>
        <v>12.833333333333334</v>
      </c>
      <c r="H11" s="47"/>
      <c r="I11" s="246">
        <f>SUM(D11/12)</f>
        <v>11.333333333333334</v>
      </c>
      <c r="J11" s="254"/>
      <c r="K11" s="48"/>
      <c r="L11" s="49">
        <f>SUM(F11/24)</f>
        <v>12.083333333333334</v>
      </c>
      <c r="M11" s="50"/>
      <c r="N11" s="65"/>
      <c r="O11" s="66"/>
      <c r="P11" s="164"/>
      <c r="Q11" s="67"/>
      <c r="R11" s="68"/>
      <c r="S11" s="69"/>
    </row>
    <row r="12" spans="1:19" ht="24.75">
      <c r="A12" s="25" t="s">
        <v>6</v>
      </c>
      <c r="B12" s="26" t="s">
        <v>8</v>
      </c>
      <c r="C12" s="29">
        <v>50487</v>
      </c>
      <c r="D12" s="28">
        <v>40146</v>
      </c>
      <c r="E12" s="29"/>
      <c r="F12" s="30">
        <f t="shared" si="0"/>
        <v>90633</v>
      </c>
      <c r="G12" s="56">
        <f>SUM(C12/18)</f>
        <v>2804.8333333333335</v>
      </c>
      <c r="H12" s="32">
        <f>SUM(G12+G13*2)</f>
        <v>2870.3333333333335</v>
      </c>
      <c r="I12" s="245">
        <f>SUM(D12/18)</f>
        <v>2230.3333333333335</v>
      </c>
      <c r="J12" s="253">
        <f>SUM(I12+I13*2)</f>
        <v>2277.3333333333335</v>
      </c>
      <c r="K12" s="57"/>
      <c r="L12" s="33">
        <f>SUM(F12/36)</f>
        <v>2517.5833333333335</v>
      </c>
      <c r="M12" s="34">
        <f>SUM(L12+L13*2)</f>
        <v>2573.8333333333335</v>
      </c>
      <c r="N12" s="35">
        <v>111</v>
      </c>
      <c r="O12" s="36">
        <f>SUM(H12/N12)</f>
        <v>25.85885885885886</v>
      </c>
      <c r="P12" s="162">
        <f>SUM(J12)/N12</f>
        <v>20.516516516516518</v>
      </c>
      <c r="Q12" s="58"/>
      <c r="R12" s="38">
        <f>SUM(M12/N12)</f>
        <v>23.18768768768769</v>
      </c>
      <c r="S12" s="39" t="s">
        <v>36</v>
      </c>
    </row>
    <row r="13" spans="1:19" ht="25.5" thickBot="1">
      <c r="A13" s="40"/>
      <c r="B13" s="59" t="s">
        <v>9</v>
      </c>
      <c r="C13" s="70">
        <v>393</v>
      </c>
      <c r="D13" s="71">
        <v>282</v>
      </c>
      <c r="E13" s="70"/>
      <c r="F13" s="63">
        <f t="shared" si="0"/>
        <v>675</v>
      </c>
      <c r="G13" s="64">
        <f>SUM(C13/12)</f>
        <v>32.75</v>
      </c>
      <c r="H13" s="47"/>
      <c r="I13" s="246">
        <f>SUM(D13/12)</f>
        <v>23.5</v>
      </c>
      <c r="J13" s="254"/>
      <c r="K13" s="48"/>
      <c r="L13" s="49">
        <f>SUM(F13/24)</f>
        <v>28.125</v>
      </c>
      <c r="M13" s="50"/>
      <c r="N13" s="65"/>
      <c r="O13" s="72"/>
      <c r="P13" s="163"/>
      <c r="Q13" s="53"/>
      <c r="R13" s="54"/>
      <c r="S13" s="55"/>
    </row>
    <row r="14" spans="1:19" ht="24.75">
      <c r="A14" s="25" t="s">
        <v>10</v>
      </c>
      <c r="B14" s="26" t="s">
        <v>8</v>
      </c>
      <c r="C14" s="27">
        <v>9243</v>
      </c>
      <c r="D14" s="28">
        <v>7915</v>
      </c>
      <c r="E14" s="29"/>
      <c r="F14" s="30">
        <f t="shared" si="0"/>
        <v>17158</v>
      </c>
      <c r="G14" s="56">
        <f>SUM(C14/18)</f>
        <v>513.5</v>
      </c>
      <c r="H14" s="32">
        <f>SUM(G14+G15*2)</f>
        <v>603</v>
      </c>
      <c r="I14" s="245">
        <f>SUM(D14/18)</f>
        <v>439.72222222222223</v>
      </c>
      <c r="J14" s="253">
        <f>SUM(I14+I15*2)</f>
        <v>491.05555555555554</v>
      </c>
      <c r="K14" s="57"/>
      <c r="L14" s="33">
        <f>SUM(F14/36)</f>
        <v>476.6111111111111</v>
      </c>
      <c r="M14" s="34">
        <f>SUM(L14+L15*2)</f>
        <v>547.0277777777777</v>
      </c>
      <c r="N14" s="35">
        <v>43</v>
      </c>
      <c r="O14" s="36">
        <f>SUM(H14/N14)</f>
        <v>14.023255813953488</v>
      </c>
      <c r="P14" s="162">
        <f>SUM(J14)/N14</f>
        <v>11.419896640826874</v>
      </c>
      <c r="Q14" s="58"/>
      <c r="R14" s="38">
        <f>SUM(M14/N14)</f>
        <v>12.72157622739018</v>
      </c>
      <c r="S14" s="39" t="s">
        <v>36</v>
      </c>
    </row>
    <row r="15" spans="1:19" ht="25.5" thickBot="1">
      <c r="A15" s="40" t="s">
        <v>14</v>
      </c>
      <c r="B15" s="59" t="s">
        <v>9</v>
      </c>
      <c r="C15" s="60">
        <v>537</v>
      </c>
      <c r="D15" s="61">
        <v>308</v>
      </c>
      <c r="E15" s="62"/>
      <c r="F15" s="63">
        <f t="shared" si="0"/>
        <v>845</v>
      </c>
      <c r="G15" s="64">
        <f>SUM(C15/12)</f>
        <v>44.75</v>
      </c>
      <c r="H15" s="47"/>
      <c r="I15" s="246">
        <f>SUM(D15/12)</f>
        <v>25.666666666666668</v>
      </c>
      <c r="J15" s="254"/>
      <c r="K15" s="48"/>
      <c r="L15" s="49">
        <f>SUM(F15/24)</f>
        <v>35.208333333333336</v>
      </c>
      <c r="M15" s="50"/>
      <c r="N15" s="65"/>
      <c r="O15" s="72"/>
      <c r="P15" s="163"/>
      <c r="Q15" s="53"/>
      <c r="R15" s="73"/>
      <c r="S15" s="69"/>
    </row>
    <row r="16" spans="1:19" ht="24.75">
      <c r="A16" s="74" t="s">
        <v>22</v>
      </c>
      <c r="B16" s="26" t="s">
        <v>8</v>
      </c>
      <c r="C16" s="27">
        <v>30159</v>
      </c>
      <c r="D16" s="28">
        <v>30771</v>
      </c>
      <c r="E16" s="29"/>
      <c r="F16" s="30">
        <f t="shared" si="0"/>
        <v>60930</v>
      </c>
      <c r="G16" s="56">
        <f>SUM(C16/18)</f>
        <v>1675.5</v>
      </c>
      <c r="H16" s="32">
        <f>SUM(G16+G17*1.8)</f>
        <v>1676.4</v>
      </c>
      <c r="I16" s="245">
        <f>SUM(D16/18)</f>
        <v>1709.5</v>
      </c>
      <c r="J16" s="253">
        <f>SUM(I16+I17*1.8)</f>
        <v>1709.5</v>
      </c>
      <c r="K16" s="57"/>
      <c r="L16" s="33">
        <f>SUM(F16/36)</f>
        <v>1692.5</v>
      </c>
      <c r="M16" s="34">
        <f>SUM(L16+L17*1.8)</f>
        <v>1692.5</v>
      </c>
      <c r="N16" s="75">
        <v>35</v>
      </c>
      <c r="O16" s="36">
        <f>SUM(H16/N16)</f>
        <v>47.89714285714286</v>
      </c>
      <c r="P16" s="162">
        <f>SUM(J16/N16)</f>
        <v>48.84285714285714</v>
      </c>
      <c r="Q16" s="58"/>
      <c r="R16" s="38">
        <f>SUM(M16/N16)</f>
        <v>48.357142857142854</v>
      </c>
      <c r="S16" s="39" t="s">
        <v>35</v>
      </c>
    </row>
    <row r="17" spans="1:19" ht="25.5" thickBot="1">
      <c r="A17" s="40"/>
      <c r="B17" s="59" t="s">
        <v>9</v>
      </c>
      <c r="C17" s="60">
        <v>3</v>
      </c>
      <c r="D17" s="61">
        <v>3</v>
      </c>
      <c r="E17" s="62"/>
      <c r="F17" s="63">
        <f t="shared" si="0"/>
        <v>6</v>
      </c>
      <c r="G17" s="64">
        <f>F17/12</f>
        <v>0.5</v>
      </c>
      <c r="H17" s="47"/>
      <c r="I17" s="246"/>
      <c r="J17" s="254"/>
      <c r="K17" s="48"/>
      <c r="L17" s="49"/>
      <c r="M17" s="50"/>
      <c r="N17" s="65"/>
      <c r="O17" s="72"/>
      <c r="P17" s="165"/>
      <c r="Q17" s="53"/>
      <c r="R17" s="76"/>
      <c r="S17" s="55"/>
    </row>
    <row r="18" spans="1:19" ht="24.75">
      <c r="A18" s="74" t="s">
        <v>23</v>
      </c>
      <c r="B18" s="26" t="s">
        <v>8</v>
      </c>
      <c r="C18" s="27">
        <v>19011</v>
      </c>
      <c r="D18" s="28">
        <v>17055</v>
      </c>
      <c r="E18" s="29"/>
      <c r="F18" s="30">
        <f aca="true" t="shared" si="1" ref="F18:F26">SUM(C18:D18)</f>
        <v>36066</v>
      </c>
      <c r="G18" s="56">
        <f>SUM(C18/18)</f>
        <v>1056.1666666666667</v>
      </c>
      <c r="H18" s="32">
        <f>SUM(G18+G19*1.8)</f>
        <v>1064.4166666666667</v>
      </c>
      <c r="I18" s="245">
        <f>SUM(D18/18)</f>
        <v>947.5</v>
      </c>
      <c r="J18" s="253">
        <f>SUM(I18+I19*1.8)</f>
        <v>955.6</v>
      </c>
      <c r="K18" s="57"/>
      <c r="L18" s="33">
        <f>SUM(F18/36)</f>
        <v>1001.8333333333334</v>
      </c>
      <c r="M18" s="34">
        <f>SUM(L18+L19*1.8)</f>
        <v>1010.0083333333333</v>
      </c>
      <c r="N18" s="75">
        <v>22</v>
      </c>
      <c r="O18" s="36">
        <f>SUM(H18/N18)</f>
        <v>48.38257575757576</v>
      </c>
      <c r="P18" s="162">
        <f>SUM(J18/N18)</f>
        <v>43.43636363636364</v>
      </c>
      <c r="Q18" s="58"/>
      <c r="R18" s="38">
        <f>SUM(M18/N18)</f>
        <v>45.909469696969694</v>
      </c>
      <c r="S18" s="39" t="s">
        <v>35</v>
      </c>
    </row>
    <row r="19" spans="1:19" ht="25.5" thickBot="1">
      <c r="A19" s="77"/>
      <c r="B19" s="59" t="s">
        <v>9</v>
      </c>
      <c r="C19" s="60">
        <v>55</v>
      </c>
      <c r="D19" s="61">
        <v>54</v>
      </c>
      <c r="E19" s="62"/>
      <c r="F19" s="63">
        <f t="shared" si="1"/>
        <v>109</v>
      </c>
      <c r="G19" s="64">
        <f>SUM(C19/12)</f>
        <v>4.583333333333333</v>
      </c>
      <c r="H19" s="47"/>
      <c r="I19" s="246">
        <f>SUM(D19/12)</f>
        <v>4.5</v>
      </c>
      <c r="J19" s="254"/>
      <c r="K19" s="48"/>
      <c r="L19" s="49">
        <f>SUM(F19/24)</f>
        <v>4.541666666666667</v>
      </c>
      <c r="M19" s="50"/>
      <c r="N19" s="65"/>
      <c r="O19" s="72"/>
      <c r="P19" s="163"/>
      <c r="Q19" s="53"/>
      <c r="R19" s="76"/>
      <c r="S19" s="69"/>
    </row>
    <row r="20" spans="1:19" ht="24.75">
      <c r="A20" s="74" t="s">
        <v>28</v>
      </c>
      <c r="B20" s="26" t="s">
        <v>8</v>
      </c>
      <c r="C20" s="27">
        <v>6343</v>
      </c>
      <c r="D20" s="28">
        <v>8419</v>
      </c>
      <c r="E20" s="29"/>
      <c r="F20" s="30">
        <f t="shared" si="1"/>
        <v>14762</v>
      </c>
      <c r="G20" s="56">
        <f>SUM(C20/18)</f>
        <v>352.3888888888889</v>
      </c>
      <c r="H20" s="32">
        <f>SUM(G20+G21*1.8)</f>
        <v>413.8888888888889</v>
      </c>
      <c r="I20" s="245">
        <f>SUM(D20/18)</f>
        <v>467.72222222222223</v>
      </c>
      <c r="J20" s="253">
        <f>SUM(I20+I21*1.8)</f>
        <v>510.9222222222222</v>
      </c>
      <c r="K20" s="57"/>
      <c r="L20" s="33">
        <f>SUM(F20/36)</f>
        <v>410.05555555555554</v>
      </c>
      <c r="M20" s="34">
        <f>SUM(L20+L21*1.8)</f>
        <v>462.40555555555557</v>
      </c>
      <c r="N20" s="75">
        <v>15</v>
      </c>
      <c r="O20" s="36">
        <f>SUM(H20/N20)</f>
        <v>27.592592592592595</v>
      </c>
      <c r="P20" s="162">
        <f>SUM(J20/N20)</f>
        <v>34.06148148148148</v>
      </c>
      <c r="Q20" s="58"/>
      <c r="R20" s="38">
        <f>SUM(M20/N20)</f>
        <v>30.827037037037037</v>
      </c>
      <c r="S20" s="39" t="s">
        <v>35</v>
      </c>
    </row>
    <row r="21" spans="1:19" ht="25.5" thickBot="1">
      <c r="A21" s="40"/>
      <c r="B21" s="59" t="s">
        <v>9</v>
      </c>
      <c r="C21" s="60">
        <v>410</v>
      </c>
      <c r="D21" s="61">
        <v>288</v>
      </c>
      <c r="E21" s="62"/>
      <c r="F21" s="63">
        <f t="shared" si="1"/>
        <v>698</v>
      </c>
      <c r="G21" s="64">
        <f>SUM(C21/12)</f>
        <v>34.166666666666664</v>
      </c>
      <c r="H21" s="47"/>
      <c r="I21" s="246">
        <f>SUM(D21/12)</f>
        <v>24</v>
      </c>
      <c r="J21" s="254"/>
      <c r="K21" s="48"/>
      <c r="L21" s="49">
        <f>SUM(F21/24)</f>
        <v>29.083333333333332</v>
      </c>
      <c r="M21" s="50"/>
      <c r="N21" s="51"/>
      <c r="O21" s="52"/>
      <c r="P21" s="163"/>
      <c r="Q21" s="53"/>
      <c r="R21" s="76"/>
      <c r="S21" s="55"/>
    </row>
    <row r="22" spans="1:19" ht="24.75">
      <c r="A22" s="74" t="s">
        <v>24</v>
      </c>
      <c r="B22" s="26" t="s">
        <v>8</v>
      </c>
      <c r="C22" s="27">
        <v>63731</v>
      </c>
      <c r="D22" s="28">
        <v>52243</v>
      </c>
      <c r="E22" s="29"/>
      <c r="F22" s="30">
        <f t="shared" si="1"/>
        <v>115974</v>
      </c>
      <c r="G22" s="56">
        <f>SUM(C22/18)</f>
        <v>3540.6111111111113</v>
      </c>
      <c r="H22" s="32">
        <f>SUM(G22+G23*1.8)</f>
        <v>3577.061111111111</v>
      </c>
      <c r="I22" s="245">
        <f>SUM(D22/18)</f>
        <v>2902.3888888888887</v>
      </c>
      <c r="J22" s="253">
        <f>SUM(I22+I23*1.8)</f>
        <v>2931.6388888888887</v>
      </c>
      <c r="K22" s="57"/>
      <c r="L22" s="33">
        <f>SUM(F22/36)</f>
        <v>3221.5</v>
      </c>
      <c r="M22" s="34">
        <f>SUM(L22+L23*1.8)</f>
        <v>3254.35</v>
      </c>
      <c r="N22" s="75">
        <v>49</v>
      </c>
      <c r="O22" s="36">
        <f>SUM(H22/N22)</f>
        <v>73.00124716553287</v>
      </c>
      <c r="P22" s="162">
        <f>SUM(J22/N22)</f>
        <v>59.829365079365076</v>
      </c>
      <c r="Q22" s="58"/>
      <c r="R22" s="38">
        <f>SUM(M22/N22)</f>
        <v>66.41530612244898</v>
      </c>
      <c r="S22" s="39" t="s">
        <v>35</v>
      </c>
    </row>
    <row r="23" spans="1:19" ht="25.5" thickBot="1">
      <c r="A23" s="74"/>
      <c r="B23" s="59" t="s">
        <v>9</v>
      </c>
      <c r="C23" s="78">
        <v>243</v>
      </c>
      <c r="D23" s="71">
        <v>195</v>
      </c>
      <c r="E23" s="70"/>
      <c r="F23" s="79">
        <f t="shared" si="1"/>
        <v>438</v>
      </c>
      <c r="G23" s="64">
        <f>SUM(C23/12)</f>
        <v>20.25</v>
      </c>
      <c r="H23" s="47"/>
      <c r="I23" s="246">
        <f>SUM(D23/12)</f>
        <v>16.25</v>
      </c>
      <c r="J23" s="254"/>
      <c r="K23" s="48"/>
      <c r="L23" s="49">
        <f>SUM(F23/24)</f>
        <v>18.25</v>
      </c>
      <c r="M23" s="50"/>
      <c r="N23" s="65"/>
      <c r="O23" s="72"/>
      <c r="P23" s="165"/>
      <c r="Q23" s="53"/>
      <c r="R23" s="76"/>
      <c r="S23" s="69"/>
    </row>
    <row r="24" spans="1:19" s="284" customFormat="1" ht="24.75">
      <c r="A24" s="265" t="s">
        <v>25</v>
      </c>
      <c r="B24" s="266" t="s">
        <v>8</v>
      </c>
      <c r="C24" s="267">
        <v>6438</v>
      </c>
      <c r="D24" s="268">
        <v>7651</v>
      </c>
      <c r="E24" s="269"/>
      <c r="F24" s="270">
        <f t="shared" si="1"/>
        <v>14089</v>
      </c>
      <c r="G24" s="271">
        <f>SUM(C24/18)</f>
        <v>357.6666666666667</v>
      </c>
      <c r="H24" s="272">
        <f>SUM(G24+G25*2)</f>
        <v>414.1666666666667</v>
      </c>
      <c r="I24" s="273">
        <v>0</v>
      </c>
      <c r="J24" s="274">
        <f>SUM(I24+I25*2)</f>
        <v>56.833333333333336</v>
      </c>
      <c r="K24" s="275"/>
      <c r="L24" s="276">
        <f>SUM(F24/36)</f>
        <v>391.3611111111111</v>
      </c>
      <c r="M24" s="277">
        <f>SUM(L24+L25*2)</f>
        <v>448.02777777777777</v>
      </c>
      <c r="N24" s="304">
        <v>19</v>
      </c>
      <c r="O24" s="279">
        <f>SUM(H24/N24)</f>
        <v>21.79824561403509</v>
      </c>
      <c r="P24" s="280">
        <f>SUM(J24/N24)</f>
        <v>2.991228070175439</v>
      </c>
      <c r="Q24" s="281"/>
      <c r="R24" s="282">
        <f>SUM(M24/N24)</f>
        <v>23.580409356725145</v>
      </c>
      <c r="S24" s="283" t="s">
        <v>36</v>
      </c>
    </row>
    <row r="25" spans="1:19" s="284" customFormat="1" ht="25.5" thickBot="1">
      <c r="A25" s="285" t="s">
        <v>26</v>
      </c>
      <c r="B25" s="286" t="s">
        <v>9</v>
      </c>
      <c r="C25" s="287">
        <v>339</v>
      </c>
      <c r="D25" s="288">
        <v>341</v>
      </c>
      <c r="E25" s="289"/>
      <c r="F25" s="290">
        <f t="shared" si="1"/>
        <v>680</v>
      </c>
      <c r="G25" s="291">
        <f>SUM(C25/12)</f>
        <v>28.25</v>
      </c>
      <c r="H25" s="292"/>
      <c r="I25" s="293">
        <f>SUM(D25/12)</f>
        <v>28.416666666666668</v>
      </c>
      <c r="J25" s="294"/>
      <c r="K25" s="295"/>
      <c r="L25" s="296">
        <f>SUM(F25/24)</f>
        <v>28.333333333333332</v>
      </c>
      <c r="M25" s="305"/>
      <c r="N25" s="298"/>
      <c r="O25" s="306"/>
      <c r="P25" s="307"/>
      <c r="Q25" s="301"/>
      <c r="R25" s="308"/>
      <c r="S25" s="309"/>
    </row>
    <row r="26" spans="1:19" ht="24.75">
      <c r="A26" s="74" t="s">
        <v>30</v>
      </c>
      <c r="B26" s="26" t="s">
        <v>8</v>
      </c>
      <c r="C26" s="27">
        <v>3627</v>
      </c>
      <c r="D26" s="28">
        <v>4942</v>
      </c>
      <c r="E26" s="29"/>
      <c r="F26" s="30">
        <f t="shared" si="1"/>
        <v>8569</v>
      </c>
      <c r="G26" s="56">
        <f>SUM(C26/18)</f>
        <v>201.5</v>
      </c>
      <c r="H26" s="32">
        <f>SUM(G26+G27*1)</f>
        <v>201.5</v>
      </c>
      <c r="I26" s="245">
        <f>SUM(D26/18)</f>
        <v>274.55555555555554</v>
      </c>
      <c r="J26" s="253">
        <f>SUM(I26+I27*1)</f>
        <v>274.55555555555554</v>
      </c>
      <c r="K26" s="57"/>
      <c r="L26" s="33">
        <f>SUM(F26/36)</f>
        <v>238.02777777777777</v>
      </c>
      <c r="M26" s="34">
        <f>SUM(L26+L27*1)</f>
        <v>238.02777777777777</v>
      </c>
      <c r="N26" s="75">
        <v>26</v>
      </c>
      <c r="O26" s="36">
        <f>SUM(H26/N26)</f>
        <v>7.75</v>
      </c>
      <c r="P26" s="162">
        <f>SUM(J26/N26)</f>
        <v>10.55982905982906</v>
      </c>
      <c r="Q26" s="58"/>
      <c r="R26" s="38">
        <f>SUM(M26/N26)</f>
        <v>9.15491452991453</v>
      </c>
      <c r="S26" s="39" t="s">
        <v>37</v>
      </c>
    </row>
    <row r="27" spans="1:19" ht="25.5" thickBot="1">
      <c r="A27" s="40" t="s">
        <v>31</v>
      </c>
      <c r="B27" s="59" t="s">
        <v>9</v>
      </c>
      <c r="C27" s="60"/>
      <c r="D27" s="61">
        <v>0</v>
      </c>
      <c r="E27" s="62"/>
      <c r="F27" s="63"/>
      <c r="G27" s="64"/>
      <c r="H27" s="47"/>
      <c r="I27" s="246"/>
      <c r="J27" s="254"/>
      <c r="K27" s="48"/>
      <c r="L27" s="49"/>
      <c r="M27" s="50"/>
      <c r="N27" s="51"/>
      <c r="O27" s="52"/>
      <c r="P27" s="163"/>
      <c r="Q27" s="53"/>
      <c r="R27" s="76"/>
      <c r="S27" s="69"/>
    </row>
    <row r="28" spans="1:19" ht="24.75">
      <c r="A28" s="74" t="s">
        <v>38</v>
      </c>
      <c r="B28" s="26" t="s">
        <v>8</v>
      </c>
      <c r="C28" s="27">
        <v>41531</v>
      </c>
      <c r="D28" s="28">
        <v>38961</v>
      </c>
      <c r="E28" s="29"/>
      <c r="F28" s="30">
        <f>SUM(C28:D28)</f>
        <v>80492</v>
      </c>
      <c r="G28" s="56">
        <f>SUM(C28/18)</f>
        <v>2307.277777777778</v>
      </c>
      <c r="H28" s="32">
        <f>SUM(G28)</f>
        <v>2307.277777777778</v>
      </c>
      <c r="I28" s="245">
        <f>SUM(D28/18)</f>
        <v>2164.5</v>
      </c>
      <c r="J28" s="253">
        <v>0</v>
      </c>
      <c r="K28" s="57"/>
      <c r="L28" s="33">
        <f>SUM(F28/36)</f>
        <v>2235.8888888888887</v>
      </c>
      <c r="M28" s="34">
        <f>SUM(L28)</f>
        <v>2235.8888888888887</v>
      </c>
      <c r="N28" s="35">
        <v>84</v>
      </c>
      <c r="O28" s="36">
        <f>SUM(H28/N28)</f>
        <v>27.46759259259259</v>
      </c>
      <c r="P28" s="162">
        <f>SUM(J28/N28)</f>
        <v>0</v>
      </c>
      <c r="Q28" s="58"/>
      <c r="R28" s="38">
        <f>SUM(M28/N28)</f>
        <v>26.617724867724867</v>
      </c>
      <c r="S28" s="55"/>
    </row>
    <row r="29" spans="1:19" ht="25.5" thickBot="1">
      <c r="A29" s="40" t="s">
        <v>16</v>
      </c>
      <c r="B29" s="59" t="s">
        <v>9</v>
      </c>
      <c r="C29" s="60"/>
      <c r="D29" s="61"/>
      <c r="E29" s="62"/>
      <c r="F29" s="63"/>
      <c r="G29" s="64"/>
      <c r="H29" s="47"/>
      <c r="I29" s="246"/>
      <c r="J29" s="254"/>
      <c r="K29" s="48"/>
      <c r="L29" s="49"/>
      <c r="M29" s="50"/>
      <c r="N29" s="65"/>
      <c r="O29" s="72"/>
      <c r="P29" s="163"/>
      <c r="Q29" s="53"/>
      <c r="R29" s="54"/>
      <c r="S29" s="55"/>
    </row>
    <row r="30" spans="1:19" ht="24.75">
      <c r="A30" s="74" t="s">
        <v>19</v>
      </c>
      <c r="B30" s="26" t="s">
        <v>8</v>
      </c>
      <c r="C30" s="27">
        <v>11338</v>
      </c>
      <c r="D30" s="28">
        <v>9389</v>
      </c>
      <c r="E30" s="29"/>
      <c r="F30" s="30">
        <f>SUM(C30:D30)</f>
        <v>20727</v>
      </c>
      <c r="G30" s="56">
        <f>SUM(C30/18)</f>
        <v>629.8888888888889</v>
      </c>
      <c r="H30" s="32">
        <f>SUM(G30)</f>
        <v>629.8888888888889</v>
      </c>
      <c r="I30" s="245">
        <f>SUM(D30/18)</f>
        <v>521.6111111111111</v>
      </c>
      <c r="J30" s="253">
        <v>0</v>
      </c>
      <c r="K30" s="33"/>
      <c r="L30" s="33">
        <f>SUM(F30/36)</f>
        <v>575.75</v>
      </c>
      <c r="M30" s="34">
        <f>SUM(L30)</f>
        <v>575.75</v>
      </c>
      <c r="N30" s="35">
        <v>31</v>
      </c>
      <c r="O30" s="36">
        <f>SUM(H30/N30)</f>
        <v>20.31899641577061</v>
      </c>
      <c r="P30" s="162">
        <f>SUM(J30/N30)</f>
        <v>0</v>
      </c>
      <c r="Q30" s="58"/>
      <c r="R30" s="38">
        <f>SUM(M30/N30)</f>
        <v>18.572580645161292</v>
      </c>
      <c r="S30" s="82"/>
    </row>
    <row r="31" spans="1:19" ht="25.5" thickBot="1">
      <c r="A31" s="74"/>
      <c r="B31" s="83" t="s">
        <v>48</v>
      </c>
      <c r="C31" s="78"/>
      <c r="D31" s="71"/>
      <c r="E31" s="70"/>
      <c r="F31" s="63"/>
      <c r="G31" s="84"/>
      <c r="H31" s="85"/>
      <c r="I31" s="247"/>
      <c r="J31" s="255"/>
      <c r="K31" s="86"/>
      <c r="L31" s="49"/>
      <c r="M31" s="80"/>
      <c r="N31" s="75"/>
      <c r="O31" s="87"/>
      <c r="P31" s="164"/>
      <c r="Q31" s="67"/>
      <c r="R31" s="88"/>
      <c r="S31" s="69"/>
    </row>
    <row r="32" spans="1:19" ht="24.75">
      <c r="A32" s="25" t="s">
        <v>29</v>
      </c>
      <c r="B32" s="26" t="s">
        <v>8</v>
      </c>
      <c r="C32" s="89">
        <v>8211</v>
      </c>
      <c r="D32" s="28">
        <v>7827</v>
      </c>
      <c r="E32" s="90"/>
      <c r="F32" s="30">
        <f>SUM(C32:D32)</f>
        <v>16038</v>
      </c>
      <c r="G32" s="56">
        <f>SUM(C32/18)</f>
        <v>456.1666666666667</v>
      </c>
      <c r="H32" s="32">
        <f>SUM(G32+G33*1.8)</f>
        <v>456.1666666666667</v>
      </c>
      <c r="I32" s="245">
        <f>SUM(D32/18)</f>
        <v>434.8333333333333</v>
      </c>
      <c r="J32" s="253">
        <f>SUM(I32+I33*1.8)</f>
        <v>492.2833333333333</v>
      </c>
      <c r="K32" s="33"/>
      <c r="L32" s="33">
        <f>SUM(F32/36)</f>
        <v>445.5</v>
      </c>
      <c r="M32" s="34">
        <f>SUM(L32+L33*1.8)</f>
        <v>506.925</v>
      </c>
      <c r="N32" s="35">
        <v>18</v>
      </c>
      <c r="O32" s="36">
        <f>SUM(H32/N32)</f>
        <v>25.342592592592595</v>
      </c>
      <c r="P32" s="162">
        <f>SUM(J32/N32)</f>
        <v>27.34907407407407</v>
      </c>
      <c r="Q32" s="58"/>
      <c r="R32" s="38">
        <f>SUM(M32/N32)</f>
        <v>28.1625</v>
      </c>
      <c r="S32" s="39" t="s">
        <v>35</v>
      </c>
    </row>
    <row r="33" spans="1:19" ht="25.5" thickBot="1">
      <c r="A33" s="171"/>
      <c r="B33" s="146" t="s">
        <v>48</v>
      </c>
      <c r="C33" s="172">
        <v>436</v>
      </c>
      <c r="D33" s="173">
        <v>383</v>
      </c>
      <c r="E33" s="174"/>
      <c r="F33" s="175">
        <f>SUM(C33:D33)</f>
        <v>819</v>
      </c>
      <c r="G33" s="176"/>
      <c r="H33" s="177"/>
      <c r="I33" s="248">
        <f>SUM(D33/12)</f>
        <v>31.916666666666668</v>
      </c>
      <c r="J33" s="256"/>
      <c r="K33" s="178"/>
      <c r="L33" s="178">
        <f>SUM(F33/24)</f>
        <v>34.125</v>
      </c>
      <c r="M33" s="179"/>
      <c r="N33" s="149"/>
      <c r="O33" s="150"/>
      <c r="P33" s="168"/>
      <c r="Q33" s="151"/>
      <c r="R33" s="152"/>
      <c r="S33" s="153"/>
    </row>
    <row r="34" spans="1:19" ht="24.75">
      <c r="A34" s="74" t="s">
        <v>56</v>
      </c>
      <c r="B34" s="26" t="s">
        <v>8</v>
      </c>
      <c r="C34" s="27">
        <v>3521</v>
      </c>
      <c r="D34" s="28">
        <v>6480</v>
      </c>
      <c r="E34" s="29"/>
      <c r="F34" s="30">
        <f>SUM(C34:D34)</f>
        <v>10001</v>
      </c>
      <c r="G34" s="56">
        <f>SUM(C34/18)</f>
        <v>195.61111111111111</v>
      </c>
      <c r="H34" s="32">
        <f>SUM(G34+G35*2)</f>
        <v>195.61111111111111</v>
      </c>
      <c r="I34" s="245">
        <f>SUM(D34/18)</f>
        <v>360</v>
      </c>
      <c r="J34" s="253">
        <f>SUM(I34+I35*2)</f>
        <v>360</v>
      </c>
      <c r="K34" s="57"/>
      <c r="L34" s="33">
        <f>SUM(F34/36)</f>
        <v>277.80555555555554</v>
      </c>
      <c r="M34" s="34">
        <f>SUM(L34+L35*2)</f>
        <v>277.80555555555554</v>
      </c>
      <c r="N34" s="35">
        <v>6</v>
      </c>
      <c r="O34" s="36">
        <f>SUM(H34/N34)</f>
        <v>32.601851851851855</v>
      </c>
      <c r="P34" s="162">
        <f>SUM(J34)/N34</f>
        <v>60</v>
      </c>
      <c r="Q34" s="58"/>
      <c r="R34" s="38">
        <f>SUM(M34/N34)</f>
        <v>46.300925925925924</v>
      </c>
      <c r="S34" s="39" t="s">
        <v>36</v>
      </c>
    </row>
    <row r="35" spans="1:19" ht="25.5" thickBot="1">
      <c r="A35" s="74"/>
      <c r="B35" s="59" t="s">
        <v>9</v>
      </c>
      <c r="C35" s="60"/>
      <c r="D35" s="61"/>
      <c r="E35" s="62"/>
      <c r="F35" s="63">
        <f>SUM(C35:D35)</f>
        <v>0</v>
      </c>
      <c r="G35" s="64">
        <f>SUM(C35/12)</f>
        <v>0</v>
      </c>
      <c r="H35" s="47"/>
      <c r="I35" s="246">
        <f>SUM(D35/12)</f>
        <v>0</v>
      </c>
      <c r="J35" s="254"/>
      <c r="K35" s="48"/>
      <c r="L35" s="49">
        <f>SUM(F35/24)</f>
        <v>0</v>
      </c>
      <c r="M35" s="50"/>
      <c r="N35" s="65"/>
      <c r="O35" s="66"/>
      <c r="P35" s="164"/>
      <c r="Q35" s="67"/>
      <c r="R35" s="68"/>
      <c r="S35" s="69"/>
    </row>
    <row r="36" spans="1:19" ht="24.75">
      <c r="A36" s="74" t="s">
        <v>32</v>
      </c>
      <c r="B36" s="83"/>
      <c r="C36" s="91"/>
      <c r="D36" s="71"/>
      <c r="E36" s="92"/>
      <c r="F36" s="79"/>
      <c r="G36" s="84"/>
      <c r="H36" s="85"/>
      <c r="I36" s="247"/>
      <c r="J36" s="257"/>
      <c r="K36" s="86"/>
      <c r="L36" s="86"/>
      <c r="M36" s="170"/>
      <c r="N36" s="75"/>
      <c r="O36" s="87"/>
      <c r="P36" s="166"/>
      <c r="Q36" s="67"/>
      <c r="R36" s="88"/>
      <c r="S36" s="55"/>
    </row>
    <row r="37" spans="1:19" ht="24.75">
      <c r="A37" s="93" t="s">
        <v>33</v>
      </c>
      <c r="B37" s="94" t="s">
        <v>8</v>
      </c>
      <c r="C37" s="95"/>
      <c r="D37" s="96">
        <f>1071+99</f>
        <v>1170</v>
      </c>
      <c r="E37" s="97"/>
      <c r="F37" s="145"/>
      <c r="G37" s="154"/>
      <c r="H37" s="155"/>
      <c r="I37" s="249"/>
      <c r="J37" s="258"/>
      <c r="K37" s="156"/>
      <c r="L37" s="156"/>
      <c r="M37" s="157"/>
      <c r="N37" s="75"/>
      <c r="O37" s="98"/>
      <c r="P37" s="167"/>
      <c r="Q37" s="67"/>
      <c r="R37" s="99"/>
      <c r="S37" s="55"/>
    </row>
    <row r="38" spans="1:19" ht="25.5" thickBot="1">
      <c r="A38" s="74"/>
      <c r="B38" s="83" t="s">
        <v>48</v>
      </c>
      <c r="C38" s="100"/>
      <c r="D38" s="43"/>
      <c r="E38" s="101"/>
      <c r="F38" s="45"/>
      <c r="G38" s="158"/>
      <c r="H38" s="159"/>
      <c r="I38" s="250"/>
      <c r="J38" s="259"/>
      <c r="K38" s="160"/>
      <c r="L38" s="160"/>
      <c r="M38" s="161"/>
      <c r="N38" s="75"/>
      <c r="O38" s="87"/>
      <c r="P38" s="164"/>
      <c r="Q38" s="67"/>
      <c r="R38" s="88"/>
      <c r="S38" s="55"/>
    </row>
    <row r="39" spans="1:19" s="2" customFormat="1" ht="24.75">
      <c r="A39" s="803" t="s">
        <v>39</v>
      </c>
      <c r="B39" s="102" t="s">
        <v>8</v>
      </c>
      <c r="C39" s="103">
        <f>SUM(C6,C8,C10,C12,C14,C16,C18,C20,C22,C24,C26,C28,C30,C32,C34,C36)</f>
        <v>283091</v>
      </c>
      <c r="D39" s="103">
        <f>SUM(D6,D8,D10,D12,D14,D16,D18,D20,D22,D24,D26,D28,D30,D32,D34,D37)</f>
        <v>265147</v>
      </c>
      <c r="E39" s="103"/>
      <c r="F39" s="103">
        <f>SUM(F6,F8,F10,F12,F14,F16,F18,F20,F22,F24,F26,F28,F30,F32,F37)</f>
        <v>537067</v>
      </c>
      <c r="G39" s="104">
        <f>SUM(C39/18)</f>
        <v>15727.277777777777</v>
      </c>
      <c r="H39" s="105">
        <f>SUM(H6:H38)</f>
        <v>16137.877777777776</v>
      </c>
      <c r="I39" s="251">
        <f>SUM(D39/18)</f>
        <v>14730.388888888889</v>
      </c>
      <c r="J39" s="260">
        <f>SUM(J6:J38)</f>
        <v>11903.222222222223</v>
      </c>
      <c r="K39" s="106"/>
      <c r="L39" s="106">
        <f>SUM(F39/36)</f>
        <v>14918.527777777777</v>
      </c>
      <c r="M39" s="107">
        <f>SUM(M6:M38)</f>
        <v>15608.383333333331</v>
      </c>
      <c r="N39" s="108">
        <f>SUM(N6,N8,N10,N12,N14,N16,N18,N20,N22,N24,N26,N28,N30,N32,N34)</f>
        <v>542</v>
      </c>
      <c r="O39" s="109">
        <f>SUM(H39/N39)</f>
        <v>29.774682246822465</v>
      </c>
      <c r="P39" s="169">
        <f>SUM(J39)/N39</f>
        <v>21.961664616646168</v>
      </c>
      <c r="Q39" s="110"/>
      <c r="R39" s="111">
        <f>SUM(M39/N39)</f>
        <v>28.797755227552273</v>
      </c>
      <c r="S39" s="112"/>
    </row>
    <row r="40" spans="1:19" s="2" customFormat="1" ht="24.75">
      <c r="A40" s="804"/>
      <c r="B40" s="113" t="s">
        <v>9</v>
      </c>
      <c r="C40" s="114">
        <f>SUM(C7,C9,C11,C13,C15,C17,C19,C21,C23,C25,C27,C29,C31,C33,C38)</f>
        <v>2968</v>
      </c>
      <c r="D40" s="114">
        <f>SUM(D7,D9,D11,D13,D15,D17,D19,D21,D23,D25,D27,D29,D31,D33,D38)</f>
        <v>2189</v>
      </c>
      <c r="E40" s="114"/>
      <c r="F40" s="114">
        <f>SUM(F7,F9,F13,F15,F17,F19,F21,F23,F25,F27,F29,F31,F33,F38)</f>
        <v>4867</v>
      </c>
      <c r="G40" s="115">
        <f>SUM(C40/12)</f>
        <v>247.33333333333334</v>
      </c>
      <c r="H40" s="116"/>
      <c r="I40" s="252">
        <f>SUM(D40/12)</f>
        <v>182.41666666666666</v>
      </c>
      <c r="J40" s="261"/>
      <c r="K40" s="117"/>
      <c r="L40" s="117">
        <f>SUM(F40/24)</f>
        <v>202.79166666666666</v>
      </c>
      <c r="M40" s="118"/>
      <c r="N40" s="119"/>
      <c r="O40" s="120"/>
      <c r="P40" s="121"/>
      <c r="Q40" s="121"/>
      <c r="R40" s="122"/>
      <c r="S40" s="123"/>
    </row>
    <row r="41" spans="1:19" ht="24.75">
      <c r="A41" s="124"/>
      <c r="B41" s="125"/>
      <c r="C41" s="126"/>
      <c r="D41" s="126"/>
      <c r="E41" s="126"/>
      <c r="F41" s="127"/>
      <c r="G41" s="128"/>
      <c r="H41" s="128"/>
      <c r="I41" s="128"/>
      <c r="J41" s="241"/>
      <c r="K41" s="129"/>
      <c r="L41" s="128"/>
      <c r="M41" s="128"/>
      <c r="N41" s="130"/>
      <c r="O41" s="131"/>
      <c r="P41" s="132"/>
      <c r="Q41" s="805" t="s">
        <v>50</v>
      </c>
      <c r="R41" s="805"/>
      <c r="S41" s="805"/>
    </row>
    <row r="42" spans="1:19" ht="24.75">
      <c r="A42" s="135" t="s">
        <v>21</v>
      </c>
      <c r="B42" s="135" t="s">
        <v>44</v>
      </c>
      <c r="C42" s="126"/>
      <c r="D42" s="126"/>
      <c r="E42" s="126"/>
      <c r="F42" s="127"/>
      <c r="G42" s="128"/>
      <c r="H42" s="128"/>
      <c r="I42" s="128"/>
      <c r="J42" s="241"/>
      <c r="K42" s="129"/>
      <c r="L42" s="128"/>
      <c r="M42" s="128"/>
      <c r="N42" s="130"/>
      <c r="O42" s="131"/>
      <c r="P42" s="132"/>
      <c r="Q42" s="132"/>
      <c r="R42" s="132"/>
      <c r="S42" s="134"/>
    </row>
    <row r="43" spans="1:19" ht="24.75">
      <c r="A43" s="135"/>
      <c r="B43" s="135" t="s">
        <v>43</v>
      </c>
      <c r="C43" s="126"/>
      <c r="D43" s="126"/>
      <c r="E43" s="126"/>
      <c r="F43" s="127"/>
      <c r="G43" s="128"/>
      <c r="H43" s="128"/>
      <c r="I43" s="128"/>
      <c r="J43" s="241"/>
      <c r="K43" s="129"/>
      <c r="L43" s="128"/>
      <c r="M43" s="128"/>
      <c r="N43" s="130"/>
      <c r="O43" s="131"/>
      <c r="P43" s="132"/>
      <c r="Q43" s="132"/>
      <c r="R43" s="132"/>
      <c r="S43" s="134"/>
    </row>
    <row r="44" spans="1:16" ht="24.75">
      <c r="A44" s="136"/>
      <c r="B44" s="135" t="s">
        <v>55</v>
      </c>
      <c r="C44" s="126"/>
      <c r="D44" s="126"/>
      <c r="E44" s="126"/>
      <c r="F44" s="137"/>
      <c r="G44" s="129"/>
      <c r="H44" s="138"/>
      <c r="I44" s="139"/>
      <c r="J44" s="242"/>
      <c r="K44" s="140"/>
      <c r="L44" s="141"/>
      <c r="M44" s="141"/>
      <c r="N44" s="141"/>
      <c r="O44" s="141"/>
      <c r="P44" s="140"/>
    </row>
    <row r="45" spans="1:13" ht="24.75">
      <c r="A45" s="135"/>
      <c r="B45" s="142" t="s">
        <v>46</v>
      </c>
      <c r="C45" s="135"/>
      <c r="D45" s="135"/>
      <c r="E45" s="135"/>
      <c r="F45" s="135"/>
      <c r="G45" s="129"/>
      <c r="H45" s="135"/>
      <c r="I45" s="135"/>
      <c r="J45" s="243"/>
      <c r="K45" s="135"/>
      <c r="L45" s="135"/>
      <c r="M45" s="135"/>
    </row>
    <row r="46" spans="1:13" ht="24.75">
      <c r="A46" s="135"/>
      <c r="B46" s="135" t="s">
        <v>54</v>
      </c>
      <c r="C46" s="135"/>
      <c r="D46" s="135"/>
      <c r="E46" s="135"/>
      <c r="F46" s="135"/>
      <c r="G46" s="135"/>
      <c r="H46" s="135"/>
      <c r="I46" s="135"/>
      <c r="J46" s="243"/>
      <c r="K46" s="135"/>
      <c r="L46" s="135"/>
      <c r="M46" s="135"/>
    </row>
    <row r="47" spans="1:13" ht="24.75">
      <c r="A47" s="135"/>
      <c r="B47" s="262" t="s">
        <v>57</v>
      </c>
      <c r="C47" s="135"/>
      <c r="D47" s="135"/>
      <c r="E47" s="135"/>
      <c r="F47" s="135"/>
      <c r="G47" s="135"/>
      <c r="H47" s="135"/>
      <c r="I47" s="135"/>
      <c r="J47" s="243"/>
      <c r="K47" s="135"/>
      <c r="L47" s="135"/>
      <c r="M47" s="135"/>
    </row>
    <row r="48" spans="1:2" ht="24.75">
      <c r="A48" s="135"/>
      <c r="B48" s="263" t="s">
        <v>58</v>
      </c>
    </row>
    <row r="49" ht="24.75">
      <c r="B49" s="262" t="s">
        <v>59</v>
      </c>
    </row>
    <row r="50" spans="2:16" ht="24.75">
      <c r="B50" s="262" t="s">
        <v>60</v>
      </c>
      <c r="P50" s="144"/>
    </row>
    <row r="51" ht="22.5">
      <c r="B51" s="264" t="s">
        <v>61</v>
      </c>
    </row>
    <row r="52" ht="22.5">
      <c r="B52" s="133" t="s">
        <v>62</v>
      </c>
    </row>
  </sheetData>
  <sheetProtection/>
  <mergeCells count="9">
    <mergeCell ref="A39:A40"/>
    <mergeCell ref="Q41:S41"/>
    <mergeCell ref="A1:S1"/>
    <mergeCell ref="A3:A5"/>
    <mergeCell ref="C3:F3"/>
    <mergeCell ref="G3:M3"/>
    <mergeCell ref="O3:R4"/>
    <mergeCell ref="C4:F4"/>
    <mergeCell ref="G4:M4"/>
  </mergeCells>
  <printOptions/>
  <pageMargins left="0.33" right="0.28" top="0.26" bottom="0.2" header="0.17" footer="0.15"/>
  <pageSetup horizontalDpi="300" verticalDpi="300" orientation="landscape" paperSize="9" scale="5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84" zoomScaleNormal="75" zoomScaleSheetLayoutView="84" zoomScalePageLayoutView="0" workbookViewId="0" topLeftCell="A4">
      <selection activeCell="B23" sqref="B23"/>
    </sheetView>
  </sheetViews>
  <sheetFormatPr defaultColWidth="9.140625" defaultRowHeight="21.75"/>
  <cols>
    <col min="1" max="1" width="42.7109375" style="133" bestFit="1" customWidth="1"/>
    <col min="2" max="2" width="11.7109375" style="133" customWidth="1"/>
    <col min="3" max="3" width="11.57421875" style="133" bestFit="1" customWidth="1"/>
    <col min="4" max="4" width="9.140625" style="133" bestFit="1" customWidth="1"/>
    <col min="5" max="5" width="11.421875" style="133" bestFit="1" customWidth="1"/>
    <col min="6" max="6" width="17.140625" style="133" bestFit="1" customWidth="1"/>
    <col min="7" max="7" width="10.7109375" style="133" bestFit="1" customWidth="1"/>
    <col min="8" max="8" width="10.57421875" style="133" bestFit="1" customWidth="1"/>
    <col min="9" max="10" width="9.28125" style="133" bestFit="1" customWidth="1"/>
    <col min="11" max="11" width="11.421875" style="133" bestFit="1" customWidth="1"/>
    <col min="12" max="12" width="17.140625" style="133" bestFit="1" customWidth="1"/>
    <col min="13" max="13" width="9.8515625" style="133" bestFit="1" customWidth="1"/>
    <col min="14" max="14" width="8.8515625" style="133" customWidth="1"/>
    <col min="15" max="16" width="8.7109375" style="133" customWidth="1"/>
    <col min="17" max="17" width="11.421875" style="133" bestFit="1" customWidth="1"/>
    <col min="18" max="18" width="17.140625" style="133" bestFit="1" customWidth="1"/>
    <col min="19" max="19" width="11.57421875" style="4" customWidth="1"/>
    <col min="20" max="16384" width="9.140625" style="1" customWidth="1"/>
  </cols>
  <sheetData>
    <row r="1" spans="1:19" ht="31.5" customHeight="1">
      <c r="A1" s="786" t="s">
        <v>65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8" ht="22.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24" customHeight="1">
      <c r="A3" s="806" t="s">
        <v>45</v>
      </c>
      <c r="B3" s="6" t="s">
        <v>0</v>
      </c>
      <c r="C3" s="809" t="s">
        <v>11</v>
      </c>
      <c r="D3" s="790"/>
      <c r="E3" s="790"/>
      <c r="F3" s="791"/>
      <c r="G3" s="792" t="s">
        <v>47</v>
      </c>
      <c r="H3" s="793"/>
      <c r="I3" s="793"/>
      <c r="J3" s="793"/>
      <c r="K3" s="793"/>
      <c r="L3" s="793"/>
      <c r="M3" s="794"/>
      <c r="N3" s="7" t="s">
        <v>3</v>
      </c>
      <c r="O3" s="810" t="s">
        <v>41</v>
      </c>
      <c r="P3" s="811"/>
      <c r="Q3" s="811"/>
      <c r="R3" s="811"/>
      <c r="S3" s="236"/>
    </row>
    <row r="4" spans="1:19" ht="24.75">
      <c r="A4" s="807"/>
      <c r="B4" s="9" t="s">
        <v>1</v>
      </c>
      <c r="C4" s="816" t="s">
        <v>12</v>
      </c>
      <c r="D4" s="817"/>
      <c r="E4" s="817"/>
      <c r="F4" s="818"/>
      <c r="G4" s="799" t="s">
        <v>7</v>
      </c>
      <c r="H4" s="797"/>
      <c r="I4" s="797"/>
      <c r="J4" s="797"/>
      <c r="K4" s="797"/>
      <c r="L4" s="797"/>
      <c r="M4" s="798"/>
      <c r="N4" s="10" t="s">
        <v>4</v>
      </c>
      <c r="O4" s="813"/>
      <c r="P4" s="814"/>
      <c r="Q4" s="814"/>
      <c r="R4" s="814"/>
      <c r="S4" s="237" t="s">
        <v>27</v>
      </c>
    </row>
    <row r="5" spans="1:19" ht="24.75">
      <c r="A5" s="807"/>
      <c r="B5" s="9" t="s">
        <v>2</v>
      </c>
      <c r="C5" s="182" t="s">
        <v>17</v>
      </c>
      <c r="D5" s="183" t="s">
        <v>18</v>
      </c>
      <c r="E5" s="183" t="s">
        <v>15</v>
      </c>
      <c r="F5" s="184" t="s">
        <v>40</v>
      </c>
      <c r="G5" s="180" t="s">
        <v>17</v>
      </c>
      <c r="H5" s="183" t="s">
        <v>20</v>
      </c>
      <c r="I5" s="185" t="s">
        <v>18</v>
      </c>
      <c r="J5" s="186" t="s">
        <v>20</v>
      </c>
      <c r="K5" s="183" t="s">
        <v>15</v>
      </c>
      <c r="L5" s="187" t="s">
        <v>40</v>
      </c>
      <c r="M5" s="181" t="s">
        <v>20</v>
      </c>
      <c r="N5" s="10" t="s">
        <v>13</v>
      </c>
      <c r="O5" s="188" t="s">
        <v>17</v>
      </c>
      <c r="P5" s="188" t="s">
        <v>18</v>
      </c>
      <c r="Q5" s="188" t="s">
        <v>15</v>
      </c>
      <c r="R5" s="189" t="s">
        <v>40</v>
      </c>
      <c r="S5" s="237" t="s">
        <v>34</v>
      </c>
    </row>
    <row r="6" spans="1:19" ht="24.75">
      <c r="A6" s="190" t="s">
        <v>5</v>
      </c>
      <c r="B6" s="191" t="s">
        <v>9</v>
      </c>
      <c r="C6" s="399">
        <v>569</v>
      </c>
      <c r="D6" s="192">
        <v>475</v>
      </c>
      <c r="E6" s="193"/>
      <c r="F6" s="194">
        <f aca="true" t="shared" si="0" ref="F6:F15">SUM(C6:D6)</f>
        <v>1044</v>
      </c>
      <c r="G6" s="195">
        <f>SUM(C6/12)</f>
        <v>47.416666666666664</v>
      </c>
      <c r="H6" s="196"/>
      <c r="I6" s="310">
        <f aca="true" t="shared" si="1" ref="I6:I15">SUM(D6/12)</f>
        <v>39.583333333333336</v>
      </c>
      <c r="J6" s="197"/>
      <c r="K6" s="198"/>
      <c r="L6" s="199">
        <f>SUM(F6/24)</f>
        <v>43.5</v>
      </c>
      <c r="M6" s="200"/>
      <c r="N6" s="201"/>
      <c r="O6" s="202"/>
      <c r="P6" s="203"/>
      <c r="Q6" s="204"/>
      <c r="R6" s="205"/>
      <c r="S6" s="238"/>
    </row>
    <row r="7" spans="1:19" ht="24.75">
      <c r="A7" s="190" t="s">
        <v>42</v>
      </c>
      <c r="B7" s="191" t="s">
        <v>9</v>
      </c>
      <c r="C7" s="399">
        <v>200</v>
      </c>
      <c r="D7" s="192">
        <v>144</v>
      </c>
      <c r="E7" s="193"/>
      <c r="F7" s="194">
        <f t="shared" si="0"/>
        <v>344</v>
      </c>
      <c r="G7" s="195">
        <f>SUM(C7/12)</f>
        <v>16.666666666666668</v>
      </c>
      <c r="H7" s="196"/>
      <c r="I7" s="310">
        <f t="shared" si="1"/>
        <v>12</v>
      </c>
      <c r="J7" s="197"/>
      <c r="K7" s="198"/>
      <c r="L7" s="199">
        <f>SUM(F7/24)</f>
        <v>14.333333333333334</v>
      </c>
      <c r="M7" s="200"/>
      <c r="N7" s="201"/>
      <c r="O7" s="202"/>
      <c r="P7" s="203"/>
      <c r="Q7" s="204"/>
      <c r="R7" s="205"/>
      <c r="S7" s="238"/>
    </row>
    <row r="8" spans="1:19" ht="24.75">
      <c r="A8" s="190" t="s">
        <v>6</v>
      </c>
      <c r="B8" s="191" t="s">
        <v>9</v>
      </c>
      <c r="C8" s="400">
        <v>389</v>
      </c>
      <c r="D8" s="192">
        <v>341</v>
      </c>
      <c r="E8" s="193"/>
      <c r="F8" s="194">
        <f t="shared" si="0"/>
        <v>730</v>
      </c>
      <c r="G8" s="195">
        <f>SUM(C8/12)</f>
        <v>32.416666666666664</v>
      </c>
      <c r="H8" s="196"/>
      <c r="I8" s="310">
        <f t="shared" si="1"/>
        <v>28.416666666666668</v>
      </c>
      <c r="J8" s="197"/>
      <c r="K8" s="198"/>
      <c r="L8" s="199">
        <f>SUM(F8/24)</f>
        <v>30.416666666666668</v>
      </c>
      <c r="M8" s="200"/>
      <c r="N8" s="201"/>
      <c r="O8" s="202"/>
      <c r="P8" s="203"/>
      <c r="Q8" s="204"/>
      <c r="R8" s="205"/>
      <c r="S8" s="238"/>
    </row>
    <row r="9" spans="1:19" ht="24.75">
      <c r="A9" s="190" t="s">
        <v>51</v>
      </c>
      <c r="B9" s="191" t="s">
        <v>9</v>
      </c>
      <c r="C9" s="399">
        <v>343</v>
      </c>
      <c r="D9" s="192">
        <v>273</v>
      </c>
      <c r="E9" s="193"/>
      <c r="F9" s="194">
        <f t="shared" si="0"/>
        <v>616</v>
      </c>
      <c r="G9" s="195">
        <f>SUM(C9/12)</f>
        <v>28.583333333333332</v>
      </c>
      <c r="H9" s="196"/>
      <c r="I9" s="310">
        <f t="shared" si="1"/>
        <v>22.75</v>
      </c>
      <c r="J9" s="197"/>
      <c r="K9" s="198"/>
      <c r="L9" s="199">
        <f>SUM(F9/24)</f>
        <v>25.666666666666668</v>
      </c>
      <c r="M9" s="200"/>
      <c r="N9" s="201"/>
      <c r="O9" s="202"/>
      <c r="P9" s="203"/>
      <c r="Q9" s="204"/>
      <c r="R9" s="205"/>
      <c r="S9" s="238"/>
    </row>
    <row r="10" spans="1:19" ht="24.75">
      <c r="A10" s="190" t="s">
        <v>22</v>
      </c>
      <c r="B10" s="191" t="s">
        <v>9</v>
      </c>
      <c r="C10" s="399">
        <v>100</v>
      </c>
      <c r="D10" s="192">
        <v>70</v>
      </c>
      <c r="E10" s="193"/>
      <c r="F10" s="194">
        <f t="shared" si="0"/>
        <v>170</v>
      </c>
      <c r="G10" s="195">
        <f>C10/12</f>
        <v>8.333333333333334</v>
      </c>
      <c r="H10" s="196"/>
      <c r="I10" s="310">
        <f t="shared" si="1"/>
        <v>5.833333333333333</v>
      </c>
      <c r="J10" s="197"/>
      <c r="K10" s="198"/>
      <c r="L10" s="199">
        <f>SUM(F10/24)</f>
        <v>7.083333333333333</v>
      </c>
      <c r="M10" s="200"/>
      <c r="N10" s="201"/>
      <c r="O10" s="202"/>
      <c r="P10" s="206"/>
      <c r="Q10" s="204"/>
      <c r="R10" s="207"/>
      <c r="S10" s="238"/>
    </row>
    <row r="11" spans="1:19" ht="24.75">
      <c r="A11" s="190" t="s">
        <v>23</v>
      </c>
      <c r="B11" s="191" t="s">
        <v>9</v>
      </c>
      <c r="C11" s="399">
        <v>80</v>
      </c>
      <c r="D11" s="192">
        <v>83</v>
      </c>
      <c r="E11" s="193"/>
      <c r="F11" s="194">
        <f t="shared" si="0"/>
        <v>163</v>
      </c>
      <c r="G11" s="195">
        <f aca="true" t="shared" si="2" ref="G11:G17">SUM(C11/12)</f>
        <v>6.666666666666667</v>
      </c>
      <c r="H11" s="196"/>
      <c r="I11" s="310">
        <f t="shared" si="1"/>
        <v>6.916666666666667</v>
      </c>
      <c r="J11" s="197"/>
      <c r="K11" s="198"/>
      <c r="L11" s="199">
        <f aca="true" t="shared" si="3" ref="L11:L17">SUM(F11/24)</f>
        <v>6.791666666666667</v>
      </c>
      <c r="M11" s="200"/>
      <c r="N11" s="201"/>
      <c r="O11" s="202"/>
      <c r="P11" s="203"/>
      <c r="Q11" s="204"/>
      <c r="R11" s="207"/>
      <c r="S11" s="238"/>
    </row>
    <row r="12" spans="1:19" ht="24.75">
      <c r="A12" s="190" t="s">
        <v>28</v>
      </c>
      <c r="B12" s="191" t="s">
        <v>9</v>
      </c>
      <c r="C12" s="399">
        <v>197</v>
      </c>
      <c r="D12" s="192">
        <v>153</v>
      </c>
      <c r="E12" s="193"/>
      <c r="F12" s="194">
        <f t="shared" si="0"/>
        <v>350</v>
      </c>
      <c r="G12" s="195">
        <f t="shared" si="2"/>
        <v>16.416666666666668</v>
      </c>
      <c r="H12" s="196"/>
      <c r="I12" s="310">
        <f t="shared" si="1"/>
        <v>12.75</v>
      </c>
      <c r="J12" s="197"/>
      <c r="K12" s="198"/>
      <c r="L12" s="199">
        <f t="shared" si="3"/>
        <v>14.583333333333334</v>
      </c>
      <c r="M12" s="200"/>
      <c r="N12" s="208"/>
      <c r="O12" s="209"/>
      <c r="P12" s="203"/>
      <c r="Q12" s="204"/>
      <c r="R12" s="207"/>
      <c r="S12" s="238"/>
    </row>
    <row r="13" spans="1:19" ht="24.75">
      <c r="A13" s="190" t="s">
        <v>24</v>
      </c>
      <c r="B13" s="191" t="s">
        <v>9</v>
      </c>
      <c r="C13" s="399">
        <v>263</v>
      </c>
      <c r="D13" s="192">
        <v>171</v>
      </c>
      <c r="E13" s="193"/>
      <c r="F13" s="194">
        <f t="shared" si="0"/>
        <v>434</v>
      </c>
      <c r="G13" s="195">
        <f t="shared" si="2"/>
        <v>21.916666666666668</v>
      </c>
      <c r="H13" s="196"/>
      <c r="I13" s="310">
        <f t="shared" si="1"/>
        <v>14.25</v>
      </c>
      <c r="J13" s="197"/>
      <c r="K13" s="198"/>
      <c r="L13" s="199">
        <f t="shared" si="3"/>
        <v>18.083333333333332</v>
      </c>
      <c r="M13" s="200"/>
      <c r="N13" s="201"/>
      <c r="O13" s="202"/>
      <c r="P13" s="206"/>
      <c r="Q13" s="204"/>
      <c r="R13" s="207"/>
      <c r="S13" s="238"/>
    </row>
    <row r="14" spans="1:19" ht="24.75">
      <c r="A14" s="190" t="s">
        <v>52</v>
      </c>
      <c r="B14" s="191" t="s">
        <v>9</v>
      </c>
      <c r="C14" s="399">
        <v>275</v>
      </c>
      <c r="D14" s="192">
        <v>208</v>
      </c>
      <c r="E14" s="193"/>
      <c r="F14" s="194">
        <f t="shared" si="0"/>
        <v>483</v>
      </c>
      <c r="G14" s="195">
        <f t="shared" si="2"/>
        <v>22.916666666666668</v>
      </c>
      <c r="H14" s="196"/>
      <c r="I14" s="310">
        <f t="shared" si="1"/>
        <v>17.333333333333332</v>
      </c>
      <c r="J14" s="197"/>
      <c r="K14" s="198"/>
      <c r="L14" s="199">
        <f t="shared" si="3"/>
        <v>20.125</v>
      </c>
      <c r="M14" s="200"/>
      <c r="N14" s="201"/>
      <c r="O14" s="210"/>
      <c r="P14" s="206"/>
      <c r="Q14" s="204"/>
      <c r="R14" s="207"/>
      <c r="S14" s="238"/>
    </row>
    <row r="15" spans="1:19" ht="25.5" thickBot="1">
      <c r="A15" s="211" t="s">
        <v>29</v>
      </c>
      <c r="B15" s="212" t="s">
        <v>48</v>
      </c>
      <c r="C15" s="401">
        <v>255</v>
      </c>
      <c r="D15" s="213">
        <v>247</v>
      </c>
      <c r="E15" s="214"/>
      <c r="F15" s="215">
        <f t="shared" si="0"/>
        <v>502</v>
      </c>
      <c r="G15" s="216">
        <f t="shared" si="2"/>
        <v>21.25</v>
      </c>
      <c r="H15" s="217"/>
      <c r="I15" s="311">
        <f t="shared" si="1"/>
        <v>20.583333333333332</v>
      </c>
      <c r="J15" s="218"/>
      <c r="K15" s="219"/>
      <c r="L15" s="219">
        <f t="shared" si="3"/>
        <v>20.916666666666668</v>
      </c>
      <c r="M15" s="220"/>
      <c r="N15" s="221"/>
      <c r="O15" s="222"/>
      <c r="P15" s="223"/>
      <c r="Q15" s="224"/>
      <c r="R15" s="235"/>
      <c r="S15" s="239"/>
    </row>
    <row r="16" spans="1:19" ht="25.5" thickBot="1">
      <c r="A16" s="211" t="s">
        <v>68</v>
      </c>
      <c r="B16" s="212" t="s">
        <v>48</v>
      </c>
      <c r="C16" s="401">
        <v>104</v>
      </c>
      <c r="D16" s="213">
        <v>104</v>
      </c>
      <c r="E16" s="214"/>
      <c r="F16" s="215">
        <f>SUM(C16:D16)</f>
        <v>208</v>
      </c>
      <c r="G16" s="216">
        <f t="shared" si="2"/>
        <v>8.666666666666666</v>
      </c>
      <c r="H16" s="217"/>
      <c r="I16" s="311">
        <f>SUM(D16/12)</f>
        <v>8.666666666666666</v>
      </c>
      <c r="J16" s="218"/>
      <c r="K16" s="219"/>
      <c r="L16" s="219">
        <f>SUM(F16/24)</f>
        <v>8.666666666666666</v>
      </c>
      <c r="M16" s="220"/>
      <c r="N16" s="221"/>
      <c r="O16" s="222"/>
      <c r="P16" s="223"/>
      <c r="Q16" s="224"/>
      <c r="R16" s="235"/>
      <c r="S16" s="239"/>
    </row>
    <row r="17" spans="1:19" s="2" customFormat="1" ht="25.5" thickBot="1">
      <c r="A17" s="225" t="s">
        <v>39</v>
      </c>
      <c r="B17" s="226" t="s">
        <v>9</v>
      </c>
      <c r="C17" s="227">
        <f>SUM(C6:C16)</f>
        <v>2775</v>
      </c>
      <c r="D17" s="227">
        <f>SUM(D6:D16)</f>
        <v>2269</v>
      </c>
      <c r="E17" s="227"/>
      <c r="F17" s="227">
        <f>SUM(F6:F16)</f>
        <v>5044</v>
      </c>
      <c r="G17" s="228">
        <f t="shared" si="2"/>
        <v>231.25</v>
      </c>
      <c r="H17" s="229"/>
      <c r="I17" s="312">
        <f>SUM(D17/12)</f>
        <v>189.08333333333334</v>
      </c>
      <c r="J17" s="230"/>
      <c r="K17" s="228"/>
      <c r="L17" s="228">
        <f t="shared" si="3"/>
        <v>210.16666666666666</v>
      </c>
      <c r="M17" s="229"/>
      <c r="N17" s="231"/>
      <c r="O17" s="232"/>
      <c r="P17" s="233"/>
      <c r="Q17" s="233"/>
      <c r="R17" s="233"/>
      <c r="S17" s="234"/>
    </row>
    <row r="18" spans="1:19" ht="24.75">
      <c r="A18" s="124"/>
      <c r="B18" s="125"/>
      <c r="C18" s="126"/>
      <c r="D18" s="126"/>
      <c r="E18" s="126"/>
      <c r="F18" s="127"/>
      <c r="G18" s="128"/>
      <c r="H18" s="128"/>
      <c r="I18" s="128"/>
      <c r="J18" s="128"/>
      <c r="K18" s="129"/>
      <c r="L18" s="128"/>
      <c r="M18" s="128"/>
      <c r="N18" s="130"/>
      <c r="O18" s="131"/>
      <c r="P18" s="132"/>
      <c r="Q18" s="802" t="s">
        <v>50</v>
      </c>
      <c r="R18" s="802"/>
      <c r="S18" s="802"/>
    </row>
    <row r="19" spans="1:19" ht="24.75">
      <c r="A19" s="135" t="s">
        <v>21</v>
      </c>
      <c r="B19" s="135" t="s">
        <v>44</v>
      </c>
      <c r="C19" s="126"/>
      <c r="D19" s="126"/>
      <c r="E19" s="126"/>
      <c r="F19" s="127"/>
      <c r="G19" s="128"/>
      <c r="H19" s="128"/>
      <c r="I19" s="128"/>
      <c r="J19" s="128"/>
      <c r="K19" s="129"/>
      <c r="L19" s="128"/>
      <c r="M19" s="128"/>
      <c r="N19" s="130"/>
      <c r="O19" s="131"/>
      <c r="P19" s="132"/>
      <c r="Q19" s="132"/>
      <c r="R19" s="132"/>
      <c r="S19" s="134"/>
    </row>
    <row r="20" spans="1:19" ht="24.75">
      <c r="A20" s="135"/>
      <c r="B20" s="135" t="s">
        <v>43</v>
      </c>
      <c r="C20" s="126"/>
      <c r="D20" s="126"/>
      <c r="E20" s="126"/>
      <c r="F20" s="127"/>
      <c r="G20" s="128"/>
      <c r="H20" s="128"/>
      <c r="I20" s="128"/>
      <c r="J20" s="128"/>
      <c r="K20" s="129"/>
      <c r="L20" s="128"/>
      <c r="M20" s="128"/>
      <c r="N20" s="130"/>
      <c r="O20" s="131"/>
      <c r="P20" s="132"/>
      <c r="Q20" s="132"/>
      <c r="R20" s="132"/>
      <c r="S20" s="134"/>
    </row>
    <row r="21" spans="1:16" ht="24.75">
      <c r="A21" s="136"/>
      <c r="B21" s="135" t="s">
        <v>66</v>
      </c>
      <c r="C21" s="126"/>
      <c r="D21" s="126"/>
      <c r="E21" s="126"/>
      <c r="F21" s="137"/>
      <c r="G21" s="129"/>
      <c r="H21" s="138"/>
      <c r="I21" s="139"/>
      <c r="J21" s="139"/>
      <c r="K21" s="140"/>
      <c r="L21" s="141"/>
      <c r="M21" s="141"/>
      <c r="N21" s="141"/>
      <c r="O21" s="141"/>
      <c r="P21" s="140"/>
    </row>
    <row r="22" spans="1:13" ht="24.75">
      <c r="A22" s="135"/>
      <c r="B22" s="142" t="s">
        <v>67</v>
      </c>
      <c r="C22" s="135"/>
      <c r="D22" s="135"/>
      <c r="E22" s="135"/>
      <c r="F22" s="135"/>
      <c r="G22" s="129"/>
      <c r="H22" s="135"/>
      <c r="I22" s="135"/>
      <c r="J22" s="135"/>
      <c r="K22" s="135"/>
      <c r="L22" s="135"/>
      <c r="M22" s="135"/>
    </row>
    <row r="23" spans="1:13" ht="24.7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24.75">
      <c r="A24" s="135"/>
      <c r="B24" s="143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2" ht="24.75">
      <c r="A25" s="135"/>
      <c r="B25" s="135"/>
    </row>
    <row r="27" spans="16:19" s="133" customFormat="1" ht="22.5">
      <c r="P27" s="144"/>
      <c r="S27" s="4"/>
    </row>
  </sheetData>
  <sheetProtection/>
  <mergeCells count="8">
    <mergeCell ref="Q18:S18"/>
    <mergeCell ref="A1:S1"/>
    <mergeCell ref="A3:A5"/>
    <mergeCell ref="C3:F3"/>
    <mergeCell ref="G3:M3"/>
    <mergeCell ref="O3:R4"/>
    <mergeCell ref="C4:F4"/>
    <mergeCell ref="G4:M4"/>
  </mergeCells>
  <printOptions/>
  <pageMargins left="0.3" right="0.078740157480315" top="0.46" bottom="0.77" header="0.34" footer="0.74"/>
  <pageSetup horizontalDpi="300" verticalDpi="300" orientation="landscape" paperSize="9" scale="62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4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1" sqref="G71"/>
    </sheetView>
  </sheetViews>
  <sheetFormatPr defaultColWidth="9.140625" defaultRowHeight="21.75"/>
  <cols>
    <col min="1" max="1" width="25.421875" style="133" customWidth="1"/>
    <col min="2" max="2" width="11.8515625" style="133" customWidth="1"/>
    <col min="3" max="3" width="10.140625" style="133" customWidth="1"/>
    <col min="4" max="4" width="10.57421875" style="133" bestFit="1" customWidth="1"/>
    <col min="5" max="5" width="11.8515625" style="133" customWidth="1"/>
    <col min="6" max="6" width="10.140625" style="133" customWidth="1"/>
    <col min="7" max="7" width="12.8515625" style="133" customWidth="1"/>
    <col min="8" max="8" width="10.140625" style="133" customWidth="1"/>
    <col min="9" max="9" width="12.28125" style="244" customWidth="1"/>
    <col min="10" max="10" width="10.140625" style="133" customWidth="1"/>
    <col min="11" max="11" width="13.140625" style="133" customWidth="1"/>
    <col min="12" max="12" width="8.7109375" style="595" customWidth="1"/>
    <col min="13" max="13" width="8.7109375" style="133" bestFit="1" customWidth="1"/>
    <col min="14" max="14" width="8.28125" style="133" customWidth="1"/>
    <col min="15" max="15" width="8.7109375" style="451" customWidth="1"/>
    <col min="16" max="16" width="8.7109375" style="133" bestFit="1" customWidth="1"/>
    <col min="17" max="17" width="10.00390625" style="133" bestFit="1" customWidth="1"/>
    <col min="18" max="18" width="7.7109375" style="133" hidden="1" customWidth="1"/>
    <col min="19" max="19" width="8.140625" style="462" customWidth="1"/>
    <col min="20" max="20" width="8.28125" style="4" customWidth="1"/>
    <col min="21" max="21" width="1.57421875" style="575" customWidth="1"/>
    <col min="22" max="22" width="8.7109375" style="133" bestFit="1" customWidth="1"/>
    <col min="23" max="23" width="9.7109375" style="1" customWidth="1"/>
    <col min="24" max="16384" width="9.140625" style="1" customWidth="1"/>
  </cols>
  <sheetData>
    <row r="1" spans="1:26" ht="32.25" customHeight="1">
      <c r="A1" s="477" t="s">
        <v>94</v>
      </c>
      <c r="B1" s="463"/>
      <c r="C1" s="463"/>
      <c r="D1" s="463"/>
      <c r="E1" s="463"/>
      <c r="F1" s="463"/>
      <c r="G1" s="478" t="s">
        <v>95</v>
      </c>
      <c r="H1" s="478" t="s">
        <v>103</v>
      </c>
      <c r="I1" s="478"/>
      <c r="J1" s="478"/>
      <c r="K1" s="478"/>
      <c r="L1" s="478" t="s">
        <v>96</v>
      </c>
      <c r="M1" s="478"/>
      <c r="N1" s="478" t="s">
        <v>163</v>
      </c>
      <c r="O1" s="478"/>
      <c r="P1" s="135"/>
      <c r="Q1" s="463"/>
      <c r="R1" s="463"/>
      <c r="S1" s="463"/>
      <c r="T1" s="463"/>
      <c r="V1" s="475" t="s">
        <v>93</v>
      </c>
      <c r="W1" s="476"/>
      <c r="X1" s="476"/>
      <c r="Y1" s="476"/>
      <c r="Z1" s="476"/>
    </row>
    <row r="2" spans="1:26" ht="21.75" customHeight="1">
      <c r="A2" s="5"/>
      <c r="B2" s="3"/>
      <c r="C2" s="3"/>
      <c r="D2" s="3"/>
      <c r="E2" s="3"/>
      <c r="F2" s="3"/>
      <c r="G2" s="3"/>
      <c r="H2" s="3"/>
      <c r="I2" s="240"/>
      <c r="J2" s="3"/>
      <c r="K2" s="3"/>
      <c r="L2" s="617"/>
      <c r="M2" s="605"/>
      <c r="N2" s="605"/>
      <c r="O2" s="606"/>
      <c r="P2" s="605"/>
      <c r="Q2" s="3"/>
      <c r="R2" s="3"/>
      <c r="S2" s="461"/>
      <c r="V2" s="452" t="s">
        <v>92</v>
      </c>
      <c r="W2" s="476"/>
      <c r="X2" s="476"/>
      <c r="Y2" s="476"/>
      <c r="Z2" s="476"/>
    </row>
    <row r="3" spans="1:22" s="453" customFormat="1" ht="22.5">
      <c r="A3" s="826" t="s">
        <v>64</v>
      </c>
      <c r="B3" s="578" t="s">
        <v>0</v>
      </c>
      <c r="C3" s="828" t="s">
        <v>11</v>
      </c>
      <c r="D3" s="828"/>
      <c r="E3" s="829"/>
      <c r="F3" s="830" t="s">
        <v>73</v>
      </c>
      <c r="G3" s="831"/>
      <c r="H3" s="831"/>
      <c r="I3" s="831"/>
      <c r="J3" s="831"/>
      <c r="K3" s="831"/>
      <c r="L3" s="607" t="s">
        <v>3</v>
      </c>
      <c r="M3" s="831" t="s">
        <v>41</v>
      </c>
      <c r="N3" s="831"/>
      <c r="O3" s="831"/>
      <c r="P3" s="599" t="s">
        <v>81</v>
      </c>
      <c r="Q3" s="833" t="s">
        <v>79</v>
      </c>
      <c r="R3" s="602"/>
      <c r="S3" s="835" t="s">
        <v>80</v>
      </c>
      <c r="T3" s="823" t="s">
        <v>97</v>
      </c>
      <c r="U3" s="575"/>
      <c r="V3" s="473" t="s">
        <v>90</v>
      </c>
    </row>
    <row r="4" spans="1:22" s="453" customFormat="1" ht="22.5">
      <c r="A4" s="827"/>
      <c r="B4" s="579" t="s">
        <v>1</v>
      </c>
      <c r="C4" s="837" t="s">
        <v>12</v>
      </c>
      <c r="D4" s="838"/>
      <c r="E4" s="839"/>
      <c r="F4" s="819" t="s">
        <v>17</v>
      </c>
      <c r="G4" s="820"/>
      <c r="H4" s="821" t="s">
        <v>18</v>
      </c>
      <c r="I4" s="820"/>
      <c r="J4" s="821" t="s">
        <v>39</v>
      </c>
      <c r="K4" s="822"/>
      <c r="L4" s="608" t="s">
        <v>4</v>
      </c>
      <c r="M4" s="832"/>
      <c r="N4" s="832"/>
      <c r="O4" s="832"/>
      <c r="P4" s="600" t="s">
        <v>82</v>
      </c>
      <c r="Q4" s="834"/>
      <c r="R4" s="580"/>
      <c r="S4" s="836"/>
      <c r="T4" s="824"/>
      <c r="U4" s="575"/>
      <c r="V4" s="474" t="s">
        <v>91</v>
      </c>
    </row>
    <row r="5" spans="1:22" s="453" customFormat="1" ht="22.5">
      <c r="A5" s="827"/>
      <c r="B5" s="579" t="s">
        <v>2</v>
      </c>
      <c r="C5" s="578" t="s">
        <v>17</v>
      </c>
      <c r="D5" s="578" t="s">
        <v>18</v>
      </c>
      <c r="E5" s="582" t="s">
        <v>39</v>
      </c>
      <c r="F5" s="601" t="s">
        <v>88</v>
      </c>
      <c r="G5" s="578" t="s">
        <v>39</v>
      </c>
      <c r="H5" s="601" t="s">
        <v>88</v>
      </c>
      <c r="I5" s="583" t="s">
        <v>39</v>
      </c>
      <c r="J5" s="601" t="s">
        <v>88</v>
      </c>
      <c r="K5" s="593" t="s">
        <v>39</v>
      </c>
      <c r="L5" s="608" t="s">
        <v>13</v>
      </c>
      <c r="M5" s="594" t="s">
        <v>17</v>
      </c>
      <c r="N5" s="581" t="s">
        <v>18</v>
      </c>
      <c r="O5" s="583" t="s">
        <v>39</v>
      </c>
      <c r="P5" s="584" t="s">
        <v>83</v>
      </c>
      <c r="Q5" s="834"/>
      <c r="R5" s="585"/>
      <c r="S5" s="836"/>
      <c r="T5" s="824"/>
      <c r="U5" s="575"/>
      <c r="V5" s="450" t="s">
        <v>79</v>
      </c>
    </row>
    <row r="6" spans="1:22" s="453" customFormat="1" ht="20.25" customHeight="1">
      <c r="A6" s="586"/>
      <c r="B6" s="587"/>
      <c r="C6" s="591"/>
      <c r="D6" s="587"/>
      <c r="E6" s="592"/>
      <c r="F6" s="604"/>
      <c r="G6" s="587" t="s">
        <v>89</v>
      </c>
      <c r="H6" s="588"/>
      <c r="I6" s="588" t="s">
        <v>89</v>
      </c>
      <c r="J6" s="587"/>
      <c r="K6" s="603" t="s">
        <v>89</v>
      </c>
      <c r="L6" s="609"/>
      <c r="M6" s="591"/>
      <c r="N6" s="591"/>
      <c r="O6" s="603"/>
      <c r="P6" s="588"/>
      <c r="Q6" s="589"/>
      <c r="R6" s="590"/>
      <c r="S6" s="468"/>
      <c r="T6" s="825"/>
      <c r="U6" s="575"/>
      <c r="V6" s="454"/>
    </row>
    <row r="7" spans="1:22" s="457" customFormat="1" ht="29.25" customHeight="1">
      <c r="A7" s="455" t="s">
        <v>49</v>
      </c>
      <c r="B7" s="482" t="s">
        <v>8</v>
      </c>
      <c r="C7" s="483">
        <v>2604</v>
      </c>
      <c r="D7" s="484">
        <v>2829</v>
      </c>
      <c r="E7" s="485">
        <f>SUM(C7:D7)</f>
        <v>5433</v>
      </c>
      <c r="F7" s="486">
        <f>SUM(C7/18)</f>
        <v>144.66666666666666</v>
      </c>
      <c r="G7" s="537">
        <f>SUM(F7+(F8+F9)*1.8)</f>
        <v>144.66666666666666</v>
      </c>
      <c r="H7" s="487">
        <f>SUM(D7/18)</f>
        <v>157.16666666666666</v>
      </c>
      <c r="I7" s="537">
        <f>SUM(H7+(H8+H9)*1.8)</f>
        <v>157.16666666666666</v>
      </c>
      <c r="J7" s="488">
        <f>SUM(E7/36)</f>
        <v>150.91666666666666</v>
      </c>
      <c r="K7" s="537">
        <f>SUM(J7+(J8+J9)*1.8)</f>
        <v>150.91666666666666</v>
      </c>
      <c r="L7" s="611">
        <v>11</v>
      </c>
      <c r="M7" s="489">
        <f>SUM(G7/L7)</f>
        <v>13.15151515151515</v>
      </c>
      <c r="N7" s="490">
        <f>SUM(I7/L7)</f>
        <v>14.287878787878787</v>
      </c>
      <c r="O7" s="491">
        <f>SUM(K7/L7)</f>
        <v>13.719696969696969</v>
      </c>
      <c r="P7" s="492">
        <v>25</v>
      </c>
      <c r="Q7" s="493">
        <f>((V7-P7)/P7)*100</f>
        <v>-45.12</v>
      </c>
      <c r="R7" s="491"/>
      <c r="S7" s="554">
        <f>IF(Q7&lt;=0,5,IF(AND(Q7&gt;0,Q7&lt;20),5-(Q7/4),0))</f>
        <v>5</v>
      </c>
      <c r="T7" s="495" t="s">
        <v>69</v>
      </c>
      <c r="U7" s="575"/>
      <c r="V7" s="456">
        <v>13.72</v>
      </c>
    </row>
    <row r="8" spans="1:22" ht="24.75">
      <c r="A8" s="425"/>
      <c r="B8" s="496" t="s">
        <v>84</v>
      </c>
      <c r="C8" s="497"/>
      <c r="D8" s="498"/>
      <c r="E8" s="499"/>
      <c r="F8" s="500"/>
      <c r="G8" s="501"/>
      <c r="H8" s="502"/>
      <c r="I8" s="503"/>
      <c r="J8" s="504"/>
      <c r="K8" s="505"/>
      <c r="L8" s="612"/>
      <c r="M8" s="506"/>
      <c r="N8" s="507"/>
      <c r="O8" s="508"/>
      <c r="P8" s="509"/>
      <c r="Q8" s="510"/>
      <c r="R8" s="511"/>
      <c r="S8" s="625"/>
      <c r="T8" s="513"/>
      <c r="V8" s="419"/>
    </row>
    <row r="9" spans="1:22" ht="24.75">
      <c r="A9" s="411"/>
      <c r="B9" s="426" t="s">
        <v>85</v>
      </c>
      <c r="C9" s="427"/>
      <c r="D9" s="428"/>
      <c r="E9" s="429"/>
      <c r="F9" s="481"/>
      <c r="G9" s="412"/>
      <c r="H9" s="413"/>
      <c r="I9" s="414"/>
      <c r="J9" s="415"/>
      <c r="K9" s="416"/>
      <c r="L9" s="613"/>
      <c r="M9" s="417"/>
      <c r="N9" s="418"/>
      <c r="O9" s="420"/>
      <c r="P9" s="472"/>
      <c r="Q9" s="626"/>
      <c r="R9" s="424"/>
      <c r="S9" s="131"/>
      <c r="T9" s="421"/>
      <c r="V9" s="419"/>
    </row>
    <row r="10" spans="1:22" s="457" customFormat="1" ht="27.75" customHeight="1">
      <c r="A10" s="459" t="s">
        <v>5</v>
      </c>
      <c r="B10" s="532" t="s">
        <v>8</v>
      </c>
      <c r="C10" s="533">
        <v>19887</v>
      </c>
      <c r="D10" s="534">
        <v>24517</v>
      </c>
      <c r="E10" s="485">
        <f>SUM(C10:D10)</f>
        <v>44404</v>
      </c>
      <c r="F10" s="561">
        <f>SUM(C10/18)</f>
        <v>1104.8333333333333</v>
      </c>
      <c r="G10" s="537">
        <f>SUM(F10+(F11+F12)*2)</f>
        <v>1183</v>
      </c>
      <c r="H10" s="538">
        <f>SUM(D10/18)</f>
        <v>1362.0555555555557</v>
      </c>
      <c r="I10" s="537">
        <f>SUM(H10+(H11+H12)*2)</f>
        <v>1367.888888888889</v>
      </c>
      <c r="J10" s="539">
        <f>SUM(E10/36)</f>
        <v>1233.4444444444443</v>
      </c>
      <c r="K10" s="537">
        <f>SUM(J10+(J11+J12)*2)</f>
        <v>1275.4444444444443</v>
      </c>
      <c r="L10" s="610">
        <v>62.5</v>
      </c>
      <c r="M10" s="562">
        <f>SUM(G10/L10)</f>
        <v>18.928</v>
      </c>
      <c r="N10" s="541">
        <f>SUM(I10)/L10</f>
        <v>21.886222222222223</v>
      </c>
      <c r="O10" s="542">
        <f>SUM(K10/L10)</f>
        <v>20.40711111111111</v>
      </c>
      <c r="P10" s="543">
        <v>20</v>
      </c>
      <c r="Q10" s="493">
        <f>((V10-P10)/P10)*100</f>
        <v>2.0500000000000007</v>
      </c>
      <c r="R10" s="542"/>
      <c r="S10" s="554">
        <f>IF(Q10&lt;=0,5,IF(AND(Q10&gt;0,Q10&lt;20),5-(Q10/4),0))</f>
        <v>4.4875</v>
      </c>
      <c r="T10" s="545" t="s">
        <v>70</v>
      </c>
      <c r="U10" s="576"/>
      <c r="V10" s="456">
        <v>20.41</v>
      </c>
    </row>
    <row r="11" spans="1:22" ht="24.75">
      <c r="A11" s="422"/>
      <c r="B11" s="496" t="s">
        <v>84</v>
      </c>
      <c r="C11" s="497">
        <v>444</v>
      </c>
      <c r="D11" s="498">
        <v>1</v>
      </c>
      <c r="E11" s="499">
        <f>SUM(C11:D11)</f>
        <v>445</v>
      </c>
      <c r="F11" s="555">
        <f>SUM(C11/12)</f>
        <v>37</v>
      </c>
      <c r="G11" s="501"/>
      <c r="H11" s="502">
        <f>SUM(D11/12)</f>
        <v>0.08333333333333333</v>
      </c>
      <c r="I11" s="503"/>
      <c r="J11" s="504">
        <f>E11/24</f>
        <v>18.541666666666668</v>
      </c>
      <c r="K11" s="505"/>
      <c r="L11" s="612"/>
      <c r="M11" s="559"/>
      <c r="N11" s="507"/>
      <c r="O11" s="508"/>
      <c r="P11" s="509"/>
      <c r="Q11" s="510"/>
      <c r="R11" s="511"/>
      <c r="S11" s="625"/>
      <c r="T11" s="513"/>
      <c r="V11" s="419"/>
    </row>
    <row r="12" spans="1:22" ht="24.75">
      <c r="A12" s="411"/>
      <c r="B12" s="426" t="s">
        <v>85</v>
      </c>
      <c r="C12" s="427">
        <v>25</v>
      </c>
      <c r="D12" s="428">
        <v>34</v>
      </c>
      <c r="E12" s="499">
        <f>SUM(C12:D12)</f>
        <v>59</v>
      </c>
      <c r="F12" s="430">
        <f>SUM(C12/12)</f>
        <v>2.0833333333333335</v>
      </c>
      <c r="G12" s="412"/>
      <c r="H12" s="413">
        <f>SUM(D12/12)</f>
        <v>2.8333333333333335</v>
      </c>
      <c r="I12" s="414"/>
      <c r="J12" s="415">
        <f>E12/24</f>
        <v>2.4583333333333335</v>
      </c>
      <c r="K12" s="416"/>
      <c r="L12" s="613"/>
      <c r="M12" s="431"/>
      <c r="N12" s="418"/>
      <c r="O12" s="420"/>
      <c r="P12" s="472"/>
      <c r="Q12" s="518"/>
      <c r="R12" s="519"/>
      <c r="S12" s="120"/>
      <c r="T12" s="421"/>
      <c r="V12" s="419"/>
    </row>
    <row r="13" spans="1:22" s="457" customFormat="1" ht="27.75" customHeight="1">
      <c r="A13" s="459" t="s">
        <v>42</v>
      </c>
      <c r="B13" s="532" t="s">
        <v>8</v>
      </c>
      <c r="C13" s="533">
        <v>6086</v>
      </c>
      <c r="D13" s="534">
        <v>5791</v>
      </c>
      <c r="E13" s="535">
        <f aca="true" t="shared" si="0" ref="E13:E62">SUM(C13:D13)</f>
        <v>11877</v>
      </c>
      <c r="F13" s="561">
        <f>SUM(C13/18)</f>
        <v>338.1111111111111</v>
      </c>
      <c r="G13" s="537">
        <f>SUM(F13+(F14+F15)*2)</f>
        <v>355.1111111111111</v>
      </c>
      <c r="H13" s="538">
        <f>SUM(D13/18)</f>
        <v>321.72222222222223</v>
      </c>
      <c r="I13" s="537">
        <f>SUM(H13+(H14+H15)*2)</f>
        <v>343.05555555555554</v>
      </c>
      <c r="J13" s="539">
        <f>SUM(E13/36)</f>
        <v>329.9166666666667</v>
      </c>
      <c r="K13" s="537">
        <f>SUM(J13+(J14+J15)*2)</f>
        <v>349.08333333333337</v>
      </c>
      <c r="L13" s="610">
        <v>22</v>
      </c>
      <c r="M13" s="540">
        <f>SUM(G13/L13)</f>
        <v>16.141414141414142</v>
      </c>
      <c r="N13" s="541">
        <f>SUM(I13)/L13</f>
        <v>15.593434343434343</v>
      </c>
      <c r="O13" s="542">
        <f>SUM(K13/L13)</f>
        <v>15.867424242424244</v>
      </c>
      <c r="P13" s="543">
        <v>20</v>
      </c>
      <c r="Q13" s="493">
        <f>((V13-P13)/P13)*100</f>
        <v>-20.650000000000006</v>
      </c>
      <c r="R13" s="542"/>
      <c r="S13" s="598">
        <f>IF(Q13&lt;=0,5,IF(AND(Q13&gt;0,Q13&lt;20),5-(Q13/4),0))</f>
        <v>5</v>
      </c>
      <c r="T13" s="545" t="s">
        <v>70</v>
      </c>
      <c r="U13" s="575"/>
      <c r="V13" s="456">
        <v>15.87</v>
      </c>
    </row>
    <row r="14" spans="1:25" ht="24.75">
      <c r="A14" s="422"/>
      <c r="B14" s="496" t="s">
        <v>84</v>
      </c>
      <c r="C14" s="497">
        <v>101</v>
      </c>
      <c r="D14" s="498">
        <v>125</v>
      </c>
      <c r="E14" s="499">
        <f>SUM(C14:D14)</f>
        <v>226</v>
      </c>
      <c r="F14" s="555">
        <f>SUM(C14/12)</f>
        <v>8.416666666666666</v>
      </c>
      <c r="G14" s="501"/>
      <c r="H14" s="502">
        <f>SUM(D14/12)</f>
        <v>10.416666666666666</v>
      </c>
      <c r="I14" s="503"/>
      <c r="J14" s="504">
        <f>SUM(E14/24)</f>
        <v>9.416666666666666</v>
      </c>
      <c r="K14" s="505"/>
      <c r="L14" s="612"/>
      <c r="M14" s="559"/>
      <c r="N14" s="507"/>
      <c r="O14" s="508"/>
      <c r="P14" s="509"/>
      <c r="Q14" s="510"/>
      <c r="R14" s="511"/>
      <c r="S14" s="512"/>
      <c r="T14" s="513"/>
      <c r="V14" s="419"/>
      <c r="Y14" s="1">
        <v>1</v>
      </c>
    </row>
    <row r="15" spans="1:22" ht="24.75">
      <c r="A15" s="411"/>
      <c r="B15" s="426" t="s">
        <v>85</v>
      </c>
      <c r="C15" s="427">
        <v>1</v>
      </c>
      <c r="D15" s="428">
        <v>3</v>
      </c>
      <c r="E15" s="429">
        <f t="shared" si="0"/>
        <v>4</v>
      </c>
      <c r="F15" s="430">
        <f>SUM(C15/12)</f>
        <v>0.08333333333333333</v>
      </c>
      <c r="G15" s="412"/>
      <c r="H15" s="413">
        <f>SUM(D15/12)</f>
        <v>0.25</v>
      </c>
      <c r="I15" s="414"/>
      <c r="J15" s="415">
        <f>SUM(E15/24)</f>
        <v>0.16666666666666666</v>
      </c>
      <c r="K15" s="416"/>
      <c r="L15" s="613"/>
      <c r="M15" s="431"/>
      <c r="N15" s="418"/>
      <c r="O15" s="420"/>
      <c r="P15" s="472"/>
      <c r="Q15" s="518"/>
      <c r="R15" s="519"/>
      <c r="S15" s="120"/>
      <c r="T15" s="421"/>
      <c r="V15" s="419"/>
    </row>
    <row r="16" spans="1:22" s="457" customFormat="1" ht="27" customHeight="1">
      <c r="A16" s="563" t="s">
        <v>6</v>
      </c>
      <c r="B16" s="532" t="s">
        <v>8</v>
      </c>
      <c r="C16" s="533">
        <v>48758</v>
      </c>
      <c r="D16" s="534">
        <v>36634</v>
      </c>
      <c r="E16" s="535">
        <f t="shared" si="0"/>
        <v>85392</v>
      </c>
      <c r="F16" s="561">
        <f>SUM(C16/18)</f>
        <v>2708.777777777778</v>
      </c>
      <c r="G16" s="537">
        <f>SUM(F16+(F17+F18)*2)</f>
        <v>2758.6111111111113</v>
      </c>
      <c r="H16" s="538">
        <f>SUM(D16/18)</f>
        <v>2035.2222222222222</v>
      </c>
      <c r="I16" s="537">
        <f>SUM(H16+(H17+H18)*2)</f>
        <v>2079.8888888888887</v>
      </c>
      <c r="J16" s="539">
        <f>SUM(E16/36)</f>
        <v>2372</v>
      </c>
      <c r="K16" s="537">
        <f>SUM(J16+(J17+J18)*2)</f>
        <v>2419.25</v>
      </c>
      <c r="L16" s="610">
        <v>126</v>
      </c>
      <c r="M16" s="540">
        <f>SUM(G16/L16)</f>
        <v>21.893738977072314</v>
      </c>
      <c r="N16" s="541">
        <f>SUM(I16)/L16</f>
        <v>16.50705467372134</v>
      </c>
      <c r="O16" s="542">
        <f>SUM(K16/L16)</f>
        <v>19.200396825396826</v>
      </c>
      <c r="P16" s="543">
        <v>20</v>
      </c>
      <c r="Q16" s="493">
        <f>((V16-P16)/P16)*100</f>
        <v>-4.0000000000000036</v>
      </c>
      <c r="R16" s="542"/>
      <c r="S16" s="554">
        <f>IF(Q16&lt;=0,5,IF(AND(Q16&gt;0,Q16&lt;20),5-(Q16/4),0))</f>
        <v>5</v>
      </c>
      <c r="T16" s="545" t="s">
        <v>70</v>
      </c>
      <c r="U16" s="575"/>
      <c r="V16" s="456">
        <v>19.2</v>
      </c>
    </row>
    <row r="17" spans="1:22" ht="24.75">
      <c r="A17" s="425"/>
      <c r="B17" s="496" t="s">
        <v>84</v>
      </c>
      <c r="C17" s="497">
        <v>215</v>
      </c>
      <c r="D17" s="498">
        <v>193</v>
      </c>
      <c r="E17" s="499">
        <f>SUM(C17:D17)</f>
        <v>408</v>
      </c>
      <c r="F17" s="555">
        <f>SUM(C17/12)</f>
        <v>17.916666666666668</v>
      </c>
      <c r="G17" s="501"/>
      <c r="H17" s="502">
        <f>SUM(D17/12)</f>
        <v>16.083333333333332</v>
      </c>
      <c r="I17" s="503"/>
      <c r="J17" s="504">
        <f>SUM(E17/24)</f>
        <v>17</v>
      </c>
      <c r="K17" s="505"/>
      <c r="L17" s="612"/>
      <c r="M17" s="559"/>
      <c r="N17" s="507"/>
      <c r="O17" s="508"/>
      <c r="P17" s="509"/>
      <c r="Q17" s="510"/>
      <c r="R17" s="511"/>
      <c r="S17" s="625"/>
      <c r="T17" s="513"/>
      <c r="V17" s="419"/>
    </row>
    <row r="18" spans="1:22" ht="24.75">
      <c r="A18" s="411"/>
      <c r="B18" s="426" t="s">
        <v>85</v>
      </c>
      <c r="C18" s="427">
        <v>84</v>
      </c>
      <c r="D18" s="428">
        <v>75</v>
      </c>
      <c r="E18" s="429">
        <f t="shared" si="0"/>
        <v>159</v>
      </c>
      <c r="F18" s="430">
        <f>SUM(C18/12)</f>
        <v>7</v>
      </c>
      <c r="G18" s="412"/>
      <c r="H18" s="413">
        <f>SUM(D18/12)</f>
        <v>6.25</v>
      </c>
      <c r="I18" s="414"/>
      <c r="J18" s="415">
        <f>SUM(E18/24)</f>
        <v>6.625</v>
      </c>
      <c r="K18" s="416"/>
      <c r="L18" s="613"/>
      <c r="M18" s="431"/>
      <c r="N18" s="418"/>
      <c r="O18" s="420"/>
      <c r="P18" s="472"/>
      <c r="Q18" s="518"/>
      <c r="R18" s="519"/>
      <c r="S18" s="120"/>
      <c r="T18" s="421"/>
      <c r="V18" s="419"/>
    </row>
    <row r="19" spans="1:22" s="457" customFormat="1" ht="27.75" customHeight="1">
      <c r="A19" s="459" t="s">
        <v>10</v>
      </c>
      <c r="B19" s="532" t="s">
        <v>8</v>
      </c>
      <c r="C19" s="533">
        <v>8067</v>
      </c>
      <c r="D19" s="534">
        <v>8008</v>
      </c>
      <c r="E19" s="535">
        <f t="shared" si="0"/>
        <v>16075</v>
      </c>
      <c r="F19" s="561">
        <f>SUM(C19/18)</f>
        <v>448.1666666666667</v>
      </c>
      <c r="G19" s="537">
        <f>SUM(F19+(F20+F21)*2)</f>
        <v>476</v>
      </c>
      <c r="H19" s="538">
        <f>SUM(D19/18)</f>
        <v>444.8888888888889</v>
      </c>
      <c r="I19" s="537">
        <f>SUM(H19+(H20+H21)*2)</f>
        <v>471.8888888888889</v>
      </c>
      <c r="J19" s="539">
        <f>SUM(E19/36)</f>
        <v>446.52777777777777</v>
      </c>
      <c r="K19" s="537">
        <f>SUM(J19+(J20+J21)*2)</f>
        <v>473.94444444444446</v>
      </c>
      <c r="L19" s="610">
        <v>46</v>
      </c>
      <c r="M19" s="540">
        <f>SUM(G19/L19)</f>
        <v>10.347826086956522</v>
      </c>
      <c r="N19" s="541">
        <f>SUM(I19)/L19</f>
        <v>10.258454106280194</v>
      </c>
      <c r="O19" s="542">
        <f>SUM(K19/L19)</f>
        <v>10.303140096618359</v>
      </c>
      <c r="P19" s="543">
        <v>20</v>
      </c>
      <c r="Q19" s="493">
        <f>((V19-P19)/P19)*100</f>
        <v>-48.5</v>
      </c>
      <c r="R19" s="542"/>
      <c r="S19" s="554">
        <f>IF(Q19&lt;=0,5,IF(AND(Q19&gt;0,Q19&lt;20),5-(Q19/4),0))</f>
        <v>5</v>
      </c>
      <c r="T19" s="545" t="s">
        <v>70</v>
      </c>
      <c r="U19" s="575"/>
      <c r="V19" s="456">
        <v>10.3</v>
      </c>
    </row>
    <row r="20" spans="1:22" ht="24.75">
      <c r="A20" s="422" t="s">
        <v>14</v>
      </c>
      <c r="B20" s="496" t="s">
        <v>84</v>
      </c>
      <c r="C20" s="497">
        <v>126</v>
      </c>
      <c r="D20" s="498">
        <v>127</v>
      </c>
      <c r="E20" s="499">
        <f>SUM(C20:D20)</f>
        <v>253</v>
      </c>
      <c r="F20" s="555">
        <f>SUM(C20/12)</f>
        <v>10.5</v>
      </c>
      <c r="G20" s="501"/>
      <c r="H20" s="502">
        <f>SUM(D20/12)</f>
        <v>10.583333333333334</v>
      </c>
      <c r="I20" s="503"/>
      <c r="J20" s="504">
        <f>SUM(E20/24)</f>
        <v>10.541666666666666</v>
      </c>
      <c r="K20" s="505"/>
      <c r="L20" s="612"/>
      <c r="M20" s="559"/>
      <c r="N20" s="507"/>
      <c r="O20" s="508"/>
      <c r="P20" s="509"/>
      <c r="Q20" s="510"/>
      <c r="R20" s="511"/>
      <c r="S20" s="512"/>
      <c r="T20" s="513"/>
      <c r="V20" s="419"/>
    </row>
    <row r="21" spans="1:22" ht="24.75">
      <c r="A21" s="411"/>
      <c r="B21" s="426" t="s">
        <v>87</v>
      </c>
      <c r="C21" s="427">
        <v>41</v>
      </c>
      <c r="D21" s="428">
        <v>35</v>
      </c>
      <c r="E21" s="429">
        <f t="shared" si="0"/>
        <v>76</v>
      </c>
      <c r="F21" s="430">
        <f>SUM(C21/12)</f>
        <v>3.4166666666666665</v>
      </c>
      <c r="G21" s="412"/>
      <c r="H21" s="413">
        <f>SUM(D21/12)</f>
        <v>2.9166666666666665</v>
      </c>
      <c r="I21" s="414"/>
      <c r="J21" s="415">
        <f>SUM(E21/24)</f>
        <v>3.1666666666666665</v>
      </c>
      <c r="K21" s="416"/>
      <c r="L21" s="613"/>
      <c r="M21" s="431"/>
      <c r="N21" s="418"/>
      <c r="O21" s="420"/>
      <c r="P21" s="472"/>
      <c r="Q21" s="518"/>
      <c r="R21" s="519"/>
      <c r="S21" s="120"/>
      <c r="T21" s="421"/>
      <c r="V21" s="419"/>
    </row>
    <row r="22" spans="1:22" s="457" customFormat="1" ht="29.25" customHeight="1">
      <c r="A22" s="459" t="s">
        <v>22</v>
      </c>
      <c r="B22" s="532" t="s">
        <v>8</v>
      </c>
      <c r="C22" s="533">
        <v>43698</v>
      </c>
      <c r="D22" s="534">
        <v>45894</v>
      </c>
      <c r="E22" s="535">
        <f>SUM(C22:D22)</f>
        <v>89592</v>
      </c>
      <c r="F22" s="536">
        <f>SUM(C22/18)</f>
        <v>2427.6666666666665</v>
      </c>
      <c r="G22" s="537">
        <f>SUM(F22+(F23+F24)*1.8)</f>
        <v>2463.0666666666666</v>
      </c>
      <c r="H22" s="538">
        <f>SUM(D22/18)</f>
        <v>2549.6666666666665</v>
      </c>
      <c r="I22" s="537">
        <f>SUM(H22+(H23+H24)*1.8)</f>
        <v>2568.8666666666663</v>
      </c>
      <c r="J22" s="539">
        <f>SUM(E22/36)</f>
        <v>2488.6666666666665</v>
      </c>
      <c r="K22" s="537">
        <f>SUM(J22+(J23+J24)*1.8)</f>
        <v>2506.3666666666663</v>
      </c>
      <c r="L22" s="610">
        <v>48</v>
      </c>
      <c r="M22" s="540">
        <f>SUM(G22/L22)</f>
        <v>51.31388888888889</v>
      </c>
      <c r="N22" s="541">
        <f>SUM(I22/L22)</f>
        <v>53.51805555555555</v>
      </c>
      <c r="O22" s="542">
        <f>SUM(K22/L22)</f>
        <v>52.21597222222221</v>
      </c>
      <c r="P22" s="543">
        <v>25</v>
      </c>
      <c r="Q22" s="493">
        <f>((V22-P22)/P22)*100</f>
        <v>108.88</v>
      </c>
      <c r="R22" s="542"/>
      <c r="S22" s="554">
        <f>IF(Q22&lt;=0,5,IF(AND(Q22&gt;0,Q22&lt;20),5-(Q22/4),0))</f>
        <v>0</v>
      </c>
      <c r="T22" s="545" t="s">
        <v>69</v>
      </c>
      <c r="U22" s="575"/>
      <c r="V22" s="456">
        <v>52.22</v>
      </c>
    </row>
    <row r="23" spans="1:22" ht="24.75">
      <c r="A23" s="422"/>
      <c r="B23" s="496" t="s">
        <v>84</v>
      </c>
      <c r="C23" s="497">
        <v>0</v>
      </c>
      <c r="D23" s="498">
        <v>0</v>
      </c>
      <c r="E23" s="499">
        <f t="shared" si="0"/>
        <v>0</v>
      </c>
      <c r="F23" s="555">
        <f>E23/12</f>
        <v>0</v>
      </c>
      <c r="G23" s="501"/>
      <c r="H23" s="502">
        <f>D23/12</f>
        <v>0</v>
      </c>
      <c r="I23" s="503"/>
      <c r="J23" s="504">
        <f>E23/24</f>
        <v>0</v>
      </c>
      <c r="K23" s="505"/>
      <c r="L23" s="612"/>
      <c r="M23" s="559"/>
      <c r="N23" s="560"/>
      <c r="O23" s="551"/>
      <c r="P23" s="509"/>
      <c r="Q23" s="510"/>
      <c r="R23" s="511"/>
      <c r="S23" s="512"/>
      <c r="T23" s="513"/>
      <c r="V23" s="423"/>
    </row>
    <row r="24" spans="1:22" ht="24.75">
      <c r="A24" s="411"/>
      <c r="B24" s="426" t="s">
        <v>87</v>
      </c>
      <c r="C24" s="427">
        <v>108</v>
      </c>
      <c r="D24" s="428">
        <v>128</v>
      </c>
      <c r="E24" s="429">
        <f>SUM(C24:D24)</f>
        <v>236</v>
      </c>
      <c r="F24" s="430">
        <f>E24/12</f>
        <v>19.666666666666668</v>
      </c>
      <c r="G24" s="412"/>
      <c r="H24" s="413">
        <f>D24/12</f>
        <v>10.666666666666666</v>
      </c>
      <c r="I24" s="414"/>
      <c r="J24" s="415">
        <f>E24/24</f>
        <v>9.833333333333334</v>
      </c>
      <c r="K24" s="416"/>
      <c r="L24" s="613"/>
      <c r="M24" s="431"/>
      <c r="N24" s="434"/>
      <c r="O24" s="433"/>
      <c r="P24" s="472"/>
      <c r="Q24" s="518"/>
      <c r="R24" s="519"/>
      <c r="S24" s="120"/>
      <c r="T24" s="421"/>
      <c r="V24" s="423"/>
    </row>
    <row r="25" spans="1:22" s="457" customFormat="1" ht="27" customHeight="1">
      <c r="A25" s="459" t="s">
        <v>23</v>
      </c>
      <c r="B25" s="532" t="s">
        <v>8</v>
      </c>
      <c r="C25" s="533">
        <v>13569</v>
      </c>
      <c r="D25" s="534">
        <v>12912</v>
      </c>
      <c r="E25" s="535">
        <f t="shared" si="0"/>
        <v>26481</v>
      </c>
      <c r="F25" s="536">
        <f>SUM(C25/18)</f>
        <v>753.8333333333334</v>
      </c>
      <c r="G25" s="537">
        <f>SUM(F25+(F26+F27)*1.8)</f>
        <v>758.1833333333334</v>
      </c>
      <c r="H25" s="538">
        <f>SUM(D25/18)</f>
        <v>717.3333333333334</v>
      </c>
      <c r="I25" s="537">
        <f>SUM(H25+(H26+H27)*1.8)</f>
        <v>734.1333333333333</v>
      </c>
      <c r="J25" s="539">
        <f>SUM(E25/36)</f>
        <v>735.5833333333334</v>
      </c>
      <c r="K25" s="537">
        <f>SUM(J25+(J26+J27)*1.8)</f>
        <v>746.1583333333334</v>
      </c>
      <c r="L25" s="610">
        <v>30</v>
      </c>
      <c r="M25" s="540">
        <f>SUM(G25/L25)</f>
        <v>25.27277777777778</v>
      </c>
      <c r="N25" s="541">
        <f>SUM(I25/L25)</f>
        <v>24.47111111111111</v>
      </c>
      <c r="O25" s="542">
        <f>SUM(K25/L25)</f>
        <v>24.87194444444445</v>
      </c>
      <c r="P25" s="543">
        <v>25</v>
      </c>
      <c r="Q25" s="493">
        <f>((V25-P25)/P25)*100</f>
        <v>-0.519999999999996</v>
      </c>
      <c r="R25" s="542"/>
      <c r="S25" s="554">
        <f>IF(Q25&lt;=0,5,IF(AND(Q25&gt;0,Q25&lt;20),5-(Q25/4),0))</f>
        <v>5</v>
      </c>
      <c r="T25" s="545" t="s">
        <v>69</v>
      </c>
      <c r="U25" s="575"/>
      <c r="V25" s="458">
        <v>24.87</v>
      </c>
    </row>
    <row r="26" spans="1:22" ht="24.75">
      <c r="A26" s="564"/>
      <c r="B26" s="496" t="s">
        <v>84</v>
      </c>
      <c r="C26" s="497">
        <v>29</v>
      </c>
      <c r="D26" s="498">
        <v>112</v>
      </c>
      <c r="E26" s="499">
        <f t="shared" si="0"/>
        <v>141</v>
      </c>
      <c r="F26" s="555">
        <f>SUM(C26/12)</f>
        <v>2.4166666666666665</v>
      </c>
      <c r="G26" s="501"/>
      <c r="H26" s="502">
        <f>SUM(D26/12)</f>
        <v>9.333333333333334</v>
      </c>
      <c r="I26" s="503"/>
      <c r="J26" s="504">
        <f>SUM(E26/24)</f>
        <v>5.875</v>
      </c>
      <c r="K26" s="505"/>
      <c r="L26" s="612"/>
      <c r="M26" s="559"/>
      <c r="N26" s="507"/>
      <c r="O26" s="551"/>
      <c r="P26" s="509"/>
      <c r="Q26" s="510"/>
      <c r="R26" s="511"/>
      <c r="S26" s="512"/>
      <c r="T26" s="513"/>
      <c r="V26" s="419"/>
    </row>
    <row r="27" spans="1:22" ht="24.75">
      <c r="A27" s="432"/>
      <c r="B27" s="426" t="s">
        <v>87</v>
      </c>
      <c r="C27" s="427">
        <v>0</v>
      </c>
      <c r="D27" s="428">
        <v>120</v>
      </c>
      <c r="E27" s="429">
        <f t="shared" si="0"/>
        <v>120</v>
      </c>
      <c r="F27" s="430"/>
      <c r="G27" s="412"/>
      <c r="H27" s="413"/>
      <c r="I27" s="414"/>
      <c r="J27" s="415"/>
      <c r="K27" s="416"/>
      <c r="L27" s="613"/>
      <c r="M27" s="431"/>
      <c r="N27" s="418"/>
      <c r="O27" s="433"/>
      <c r="P27" s="472"/>
      <c r="Q27" s="518"/>
      <c r="R27" s="519"/>
      <c r="S27" s="120"/>
      <c r="T27" s="421"/>
      <c r="V27" s="419"/>
    </row>
    <row r="28" spans="1:22" s="457" customFormat="1" ht="27" customHeight="1">
      <c r="A28" s="459" t="s">
        <v>28</v>
      </c>
      <c r="B28" s="532" t="s">
        <v>8</v>
      </c>
      <c r="C28" s="533">
        <v>8109</v>
      </c>
      <c r="D28" s="534">
        <v>8331</v>
      </c>
      <c r="E28" s="535">
        <f t="shared" si="0"/>
        <v>16440</v>
      </c>
      <c r="F28" s="536">
        <f>SUM(C28/18)</f>
        <v>450.5</v>
      </c>
      <c r="G28" s="537">
        <f>SUM(F28+(F29+F30)*1.8)</f>
        <v>478.4</v>
      </c>
      <c r="H28" s="538">
        <f>SUM(D28/18)</f>
        <v>462.8333333333333</v>
      </c>
      <c r="I28" s="537">
        <f>SUM(H28+(H29+H30)*1.8)</f>
        <v>517.2833333333333</v>
      </c>
      <c r="J28" s="539">
        <f>SUM(E28/36)</f>
        <v>456.6666666666667</v>
      </c>
      <c r="K28" s="537">
        <f>SUM(J28+(J29+J30)*1.8)</f>
        <v>497.8416666666667</v>
      </c>
      <c r="L28" s="610">
        <v>21</v>
      </c>
      <c r="M28" s="540">
        <f>SUM(G28/L28)</f>
        <v>22.780952380952378</v>
      </c>
      <c r="N28" s="541">
        <f>SUM(I28/L28)</f>
        <v>24.63253968253968</v>
      </c>
      <c r="O28" s="542">
        <f>SUM(K28/L28)</f>
        <v>23.706746031746032</v>
      </c>
      <c r="P28" s="543">
        <v>25</v>
      </c>
      <c r="Q28" s="493">
        <f>((V28-P28)/P28)*100</f>
        <v>-5.159999999999997</v>
      </c>
      <c r="R28" s="542"/>
      <c r="S28" s="554">
        <f>IF(Q28&lt;=0,5,IF(AND(Q28&gt;0,Q28&lt;20),5-(Q28/4),0))</f>
        <v>5</v>
      </c>
      <c r="T28" s="545" t="s">
        <v>69</v>
      </c>
      <c r="U28" s="575"/>
      <c r="V28" s="456">
        <v>23.71</v>
      </c>
    </row>
    <row r="29" spans="1:22" ht="24.75">
      <c r="A29" s="422"/>
      <c r="B29" s="496" t="s">
        <v>84</v>
      </c>
      <c r="C29" s="497">
        <v>128</v>
      </c>
      <c r="D29" s="498">
        <v>141</v>
      </c>
      <c r="E29" s="499">
        <f t="shared" si="0"/>
        <v>269</v>
      </c>
      <c r="F29" s="555">
        <f>SUM(C29/12)</f>
        <v>10.666666666666666</v>
      </c>
      <c r="G29" s="501"/>
      <c r="H29" s="502">
        <f>SUM(D29/12)</f>
        <v>11.75</v>
      </c>
      <c r="I29" s="503"/>
      <c r="J29" s="504">
        <f>SUM(E29/24)</f>
        <v>11.208333333333334</v>
      </c>
      <c r="K29" s="505"/>
      <c r="L29" s="612"/>
      <c r="M29" s="506"/>
      <c r="N29" s="507"/>
      <c r="O29" s="551"/>
      <c r="P29" s="509"/>
      <c r="Q29" s="510"/>
      <c r="R29" s="511"/>
      <c r="S29" s="625"/>
      <c r="T29" s="513"/>
      <c r="V29" s="423"/>
    </row>
    <row r="30" spans="1:22" ht="24.75">
      <c r="A30" s="411"/>
      <c r="B30" s="426" t="s">
        <v>87</v>
      </c>
      <c r="C30" s="427">
        <v>58</v>
      </c>
      <c r="D30" s="428">
        <v>222</v>
      </c>
      <c r="E30" s="429">
        <f>SUM(C30:D30)</f>
        <v>280</v>
      </c>
      <c r="F30" s="430">
        <f>SUM(C30/12)</f>
        <v>4.833333333333333</v>
      </c>
      <c r="G30" s="412"/>
      <c r="H30" s="413">
        <f>SUM(D30/12)</f>
        <v>18.5</v>
      </c>
      <c r="I30" s="414"/>
      <c r="J30" s="415">
        <f>SUM(E30/24)</f>
        <v>11.666666666666666</v>
      </c>
      <c r="K30" s="416"/>
      <c r="L30" s="613"/>
      <c r="M30" s="417"/>
      <c r="N30" s="418"/>
      <c r="O30" s="433"/>
      <c r="P30" s="472"/>
      <c r="Q30" s="518"/>
      <c r="R30" s="519"/>
      <c r="S30" s="120"/>
      <c r="T30" s="421"/>
      <c r="V30" s="423"/>
    </row>
    <row r="31" spans="1:22" s="457" customFormat="1" ht="24.75">
      <c r="A31" s="459" t="s">
        <v>24</v>
      </c>
      <c r="B31" s="532" t="s">
        <v>8</v>
      </c>
      <c r="C31" s="533">
        <v>68713</v>
      </c>
      <c r="D31" s="534">
        <v>58592</v>
      </c>
      <c r="E31" s="535">
        <f t="shared" si="0"/>
        <v>127305</v>
      </c>
      <c r="F31" s="536">
        <f>SUM(C31/18)</f>
        <v>3817.3888888888887</v>
      </c>
      <c r="G31" s="537">
        <f>SUM(F31+(F32+F33)*1.8)</f>
        <v>3832.9888888888886</v>
      </c>
      <c r="H31" s="538">
        <f>SUM(D31/18)</f>
        <v>3255.1111111111113</v>
      </c>
      <c r="I31" s="537">
        <f>SUM(H31+(H32+H33)*1.8)</f>
        <v>3283.6111111111113</v>
      </c>
      <c r="J31" s="539">
        <f>SUM(E31/36)</f>
        <v>3536.25</v>
      </c>
      <c r="K31" s="537">
        <f>SUM(J31+(J32+J33)*1.8)</f>
        <v>3558.3</v>
      </c>
      <c r="L31" s="610">
        <v>87</v>
      </c>
      <c r="M31" s="540">
        <f>SUM(G31/L31)</f>
        <v>44.057343550446994</v>
      </c>
      <c r="N31" s="541">
        <f>SUM(I31/L31)</f>
        <v>37.742656449553</v>
      </c>
      <c r="O31" s="542">
        <f>SUM(K31/L31)</f>
        <v>40.9</v>
      </c>
      <c r="P31" s="543">
        <v>25</v>
      </c>
      <c r="Q31" s="493">
        <f>((V31-P31)/P31)*100</f>
        <v>63.59999999999999</v>
      </c>
      <c r="R31" s="542"/>
      <c r="S31" s="554">
        <f>IF(Q31&lt;=0,5,IF(AND(Q31&gt;0,Q31&lt;20),5-(Q31/4),0))</f>
        <v>0</v>
      </c>
      <c r="T31" s="545" t="s">
        <v>69</v>
      </c>
      <c r="U31" s="575"/>
      <c r="V31" s="458">
        <v>40.9</v>
      </c>
    </row>
    <row r="32" spans="1:22" ht="24.75">
      <c r="A32" s="425"/>
      <c r="B32" s="496" t="s">
        <v>84</v>
      </c>
      <c r="C32" s="497">
        <v>104</v>
      </c>
      <c r="D32" s="498">
        <v>190</v>
      </c>
      <c r="E32" s="499">
        <f t="shared" si="0"/>
        <v>294</v>
      </c>
      <c r="F32" s="555">
        <f>SUM(C32/12)</f>
        <v>8.666666666666666</v>
      </c>
      <c r="G32" s="501"/>
      <c r="H32" s="502">
        <f>SUM(D32/12)</f>
        <v>15.833333333333334</v>
      </c>
      <c r="I32" s="503"/>
      <c r="J32" s="504">
        <f>SUM(E32/24)</f>
        <v>12.25</v>
      </c>
      <c r="K32" s="505"/>
      <c r="L32" s="612"/>
      <c r="M32" s="559"/>
      <c r="N32" s="560"/>
      <c r="O32" s="551"/>
      <c r="P32" s="509"/>
      <c r="Q32" s="510"/>
      <c r="R32" s="511"/>
      <c r="S32" s="512"/>
      <c r="T32" s="513"/>
      <c r="V32" s="419"/>
    </row>
    <row r="33" spans="1:22" ht="24.75">
      <c r="A33" s="411"/>
      <c r="B33" s="426" t="s">
        <v>87</v>
      </c>
      <c r="C33" s="427">
        <v>0</v>
      </c>
      <c r="D33" s="428"/>
      <c r="E33" s="429"/>
      <c r="F33" s="430"/>
      <c r="G33" s="412"/>
      <c r="H33" s="413"/>
      <c r="I33" s="414"/>
      <c r="J33" s="415"/>
      <c r="K33" s="416"/>
      <c r="L33" s="613"/>
      <c r="M33" s="431"/>
      <c r="N33" s="434"/>
      <c r="O33" s="433"/>
      <c r="P33" s="472"/>
      <c r="Q33" s="518"/>
      <c r="R33" s="519"/>
      <c r="S33" s="120"/>
      <c r="T33" s="421"/>
      <c r="U33" s="621"/>
      <c r="V33" s="419"/>
    </row>
    <row r="34" spans="1:22" s="457" customFormat="1" ht="33.75" customHeight="1">
      <c r="A34" s="455" t="s">
        <v>25</v>
      </c>
      <c r="B34" s="482" t="s">
        <v>8</v>
      </c>
      <c r="C34" s="483">
        <v>7463</v>
      </c>
      <c r="D34" s="484">
        <v>8284</v>
      </c>
      <c r="E34" s="485">
        <f t="shared" si="0"/>
        <v>15747</v>
      </c>
      <c r="F34" s="618">
        <f>SUM(C34/18)</f>
        <v>414.6111111111111</v>
      </c>
      <c r="G34" s="619">
        <f>SUM(F34+(F35+F36)*2)</f>
        <v>438.27777777777777</v>
      </c>
      <c r="H34" s="487">
        <f>SUM(D34/18)</f>
        <v>460.22222222222223</v>
      </c>
      <c r="I34" s="619">
        <f>SUM(H34+(H35+H36)*2)</f>
        <v>503.05555555555554</v>
      </c>
      <c r="J34" s="488">
        <f>SUM(E34/36)</f>
        <v>437.4166666666667</v>
      </c>
      <c r="K34" s="619">
        <f>SUM(J34+(J35+J36)*2)</f>
        <v>470.6666666666667</v>
      </c>
      <c r="L34" s="611">
        <v>21.5</v>
      </c>
      <c r="M34" s="620">
        <f>SUM(G34/L34)</f>
        <v>20.385012919896642</v>
      </c>
      <c r="N34" s="490">
        <f>SUM(I34/L34)</f>
        <v>23.397932816537466</v>
      </c>
      <c r="O34" s="491">
        <f>SUM(K34/L34)</f>
        <v>21.891472868217054</v>
      </c>
      <c r="P34" s="492">
        <v>20</v>
      </c>
      <c r="Q34" s="493">
        <f>((V34-P34)/P34)*100</f>
        <v>9.450000000000003</v>
      </c>
      <c r="R34" s="491"/>
      <c r="S34" s="494">
        <f>IF(Q34&lt;=0,5,IF(AND(Q34&gt;0,Q34&lt;20),5-(Q34/4),0))</f>
        <v>2.6374999999999993</v>
      </c>
      <c r="T34" s="495" t="s">
        <v>70</v>
      </c>
      <c r="U34" s="575"/>
      <c r="V34" s="456">
        <v>21.89</v>
      </c>
    </row>
    <row r="35" spans="1:22" ht="24.75">
      <c r="A35" s="422" t="s">
        <v>26</v>
      </c>
      <c r="B35" s="496" t="s">
        <v>84</v>
      </c>
      <c r="C35" s="497">
        <v>111</v>
      </c>
      <c r="D35" s="498">
        <v>170</v>
      </c>
      <c r="E35" s="499">
        <f t="shared" si="0"/>
        <v>281</v>
      </c>
      <c r="F35" s="555">
        <f>SUM(C35/12)</f>
        <v>9.25</v>
      </c>
      <c r="G35" s="501"/>
      <c r="H35" s="502">
        <f>SUM(D35/12)</f>
        <v>14.166666666666666</v>
      </c>
      <c r="I35" s="503"/>
      <c r="J35" s="504">
        <f>SUM(E35/24)</f>
        <v>11.708333333333334</v>
      </c>
      <c r="K35" s="505"/>
      <c r="L35" s="612"/>
      <c r="M35" s="550"/>
      <c r="N35" s="560"/>
      <c r="O35" s="551"/>
      <c r="P35" s="509"/>
      <c r="Q35" s="510"/>
      <c r="R35" s="511"/>
      <c r="S35" s="512"/>
      <c r="T35" s="513"/>
      <c r="V35" s="423"/>
    </row>
    <row r="36" spans="1:22" ht="24.75">
      <c r="A36" s="411"/>
      <c r="B36" s="426" t="s">
        <v>87</v>
      </c>
      <c r="C36" s="427">
        <v>31</v>
      </c>
      <c r="D36" s="428">
        <v>87</v>
      </c>
      <c r="E36" s="429">
        <f>SUM(C36:D36)</f>
        <v>118</v>
      </c>
      <c r="F36" s="430">
        <f>SUM(C36/12)</f>
        <v>2.5833333333333335</v>
      </c>
      <c r="G36" s="412"/>
      <c r="H36" s="413">
        <f>SUM(D36/12)</f>
        <v>7.25</v>
      </c>
      <c r="I36" s="414"/>
      <c r="J36" s="415">
        <f>SUM(E36/24)</f>
        <v>4.916666666666667</v>
      </c>
      <c r="K36" s="416"/>
      <c r="L36" s="613"/>
      <c r="M36" s="435"/>
      <c r="N36" s="434"/>
      <c r="O36" s="433"/>
      <c r="P36" s="472"/>
      <c r="Q36" s="518"/>
      <c r="R36" s="519"/>
      <c r="S36" s="120"/>
      <c r="T36" s="421"/>
      <c r="V36" s="423"/>
    </row>
    <row r="37" spans="1:23" s="457" customFormat="1" ht="30.75" customHeight="1">
      <c r="A37" s="459" t="s">
        <v>30</v>
      </c>
      <c r="B37" s="532" t="s">
        <v>8</v>
      </c>
      <c r="C37" s="533">
        <v>6537</v>
      </c>
      <c r="D37" s="534">
        <v>6578</v>
      </c>
      <c r="E37" s="535">
        <f t="shared" si="0"/>
        <v>13115</v>
      </c>
      <c r="F37" s="536">
        <f>SUM(C37/18)</f>
        <v>363.1666666666667</v>
      </c>
      <c r="G37" s="537">
        <f>SUM(F37+(F38+F39)*2)</f>
        <v>424.5</v>
      </c>
      <c r="H37" s="538">
        <f>SUM(D37/18)</f>
        <v>365.44444444444446</v>
      </c>
      <c r="I37" s="537">
        <f>SUM(H37+(H38+H39)*2)</f>
        <v>388.94444444444446</v>
      </c>
      <c r="J37" s="539">
        <f>SUM(E37/36)</f>
        <v>364.30555555555554</v>
      </c>
      <c r="K37" s="537">
        <f>SUM(J37+(J38+J39)*2)</f>
        <v>394.97222222222223</v>
      </c>
      <c r="L37" s="610">
        <v>34</v>
      </c>
      <c r="M37" s="540">
        <f>SUM(G37/L37)</f>
        <v>12.485294117647058</v>
      </c>
      <c r="N37" s="541">
        <f>SUM(I37/L37)</f>
        <v>11.439542483660132</v>
      </c>
      <c r="O37" s="542">
        <f>SUM(K37/L37)</f>
        <v>11.616830065359478</v>
      </c>
      <c r="P37" s="543">
        <v>8</v>
      </c>
      <c r="Q37" s="493">
        <f>((V37-P37)/P37)*100</f>
        <v>45.24999999999999</v>
      </c>
      <c r="R37" s="542"/>
      <c r="S37" s="554">
        <f>IF(Q37&lt;=0,5,IF(AND(Q37&gt;0,Q37&lt;20),5-(Q37/4),0))</f>
        <v>0</v>
      </c>
      <c r="T37" s="545" t="s">
        <v>71</v>
      </c>
      <c r="U37" s="575"/>
      <c r="V37" s="458">
        <v>11.62</v>
      </c>
      <c r="W37" s="627"/>
    </row>
    <row r="38" spans="1:22" ht="24.75">
      <c r="A38" s="425" t="s">
        <v>31</v>
      </c>
      <c r="B38" s="496" t="s">
        <v>84</v>
      </c>
      <c r="C38" s="497">
        <v>227</v>
      </c>
      <c r="D38" s="498">
        <v>141</v>
      </c>
      <c r="E38" s="499">
        <f t="shared" si="0"/>
        <v>368</v>
      </c>
      <c r="F38" s="555">
        <f>E38/12</f>
        <v>30.666666666666668</v>
      </c>
      <c r="G38" s="501"/>
      <c r="H38" s="502">
        <f>D38/12</f>
        <v>11.75</v>
      </c>
      <c r="I38" s="503"/>
      <c r="J38" s="504">
        <f>SUM(E38/24)</f>
        <v>15.333333333333334</v>
      </c>
      <c r="K38" s="505"/>
      <c r="L38" s="612"/>
      <c r="M38" s="506"/>
      <c r="N38" s="507"/>
      <c r="O38" s="551"/>
      <c r="P38" s="509"/>
      <c r="Q38" s="510"/>
      <c r="R38" s="511"/>
      <c r="S38" s="625"/>
      <c r="T38" s="513"/>
      <c r="V38" s="419"/>
    </row>
    <row r="39" spans="1:22" ht="24.75">
      <c r="A39" s="411"/>
      <c r="B39" s="426" t="s">
        <v>87</v>
      </c>
      <c r="C39" s="427">
        <v>0</v>
      </c>
      <c r="D39" s="428"/>
      <c r="E39" s="429"/>
      <c r="F39" s="430"/>
      <c r="G39" s="412"/>
      <c r="H39" s="413"/>
      <c r="I39" s="414"/>
      <c r="J39" s="415"/>
      <c r="K39" s="416"/>
      <c r="L39" s="613"/>
      <c r="M39" s="417"/>
      <c r="N39" s="418"/>
      <c r="O39" s="433"/>
      <c r="P39" s="472"/>
      <c r="Q39" s="518"/>
      <c r="R39" s="519"/>
      <c r="S39" s="120"/>
      <c r="T39" s="421"/>
      <c r="V39" s="419"/>
    </row>
    <row r="40" spans="1:22" s="457" customFormat="1" ht="43.5" customHeight="1">
      <c r="A40" s="459" t="s">
        <v>38</v>
      </c>
      <c r="B40" s="532" t="s">
        <v>8</v>
      </c>
      <c r="C40" s="533">
        <v>33123</v>
      </c>
      <c r="D40" s="534">
        <v>31080</v>
      </c>
      <c r="E40" s="535">
        <f t="shared" si="0"/>
        <v>64203</v>
      </c>
      <c r="F40" s="536">
        <f>SUM(C40/18)</f>
        <v>1840.1666666666667</v>
      </c>
      <c r="G40" s="537"/>
      <c r="H40" s="538">
        <f>SUM(D40/18)</f>
        <v>1726.6666666666667</v>
      </c>
      <c r="I40" s="537"/>
      <c r="J40" s="539">
        <f>SUM(E40/36)</f>
        <v>1783.4166666666667</v>
      </c>
      <c r="K40" s="537"/>
      <c r="L40" s="610">
        <v>95.5</v>
      </c>
      <c r="M40" s="540"/>
      <c r="N40" s="541">
        <f>SUM(I40/L40)</f>
        <v>0</v>
      </c>
      <c r="O40" s="558">
        <f>SUM(K40/L40)</f>
        <v>0</v>
      </c>
      <c r="P40" s="543"/>
      <c r="Q40" s="781"/>
      <c r="R40" s="542"/>
      <c r="S40" s="554">
        <f>(S41+S44)/2</f>
        <v>5</v>
      </c>
      <c r="T40" s="557"/>
      <c r="U40" s="575"/>
      <c r="V40" s="456"/>
    </row>
    <row r="41" spans="1:22" s="768" customFormat="1" ht="32.25" customHeight="1">
      <c r="A41" s="750" t="s">
        <v>156</v>
      </c>
      <c r="B41" s="751" t="s">
        <v>8</v>
      </c>
      <c r="C41" s="752">
        <v>12095</v>
      </c>
      <c r="D41" s="753">
        <v>8669</v>
      </c>
      <c r="E41" s="754">
        <f>SUM(C41:D41)</f>
        <v>20764</v>
      </c>
      <c r="F41" s="755">
        <f>SUM(C41/18)</f>
        <v>671.9444444444445</v>
      </c>
      <c r="G41" s="756">
        <f>SUM(F41+(F42+F43)*2)</f>
        <v>671.9444444444445</v>
      </c>
      <c r="H41" s="757">
        <f>SUM(D41/18)</f>
        <v>481.6111111111111</v>
      </c>
      <c r="I41" s="756">
        <f>SUM(H41+H42+H43*2)</f>
        <v>481.6111111111111</v>
      </c>
      <c r="J41" s="758">
        <f>SUM(E41/36)</f>
        <v>576.7777777777778</v>
      </c>
      <c r="K41" s="756">
        <f>SUM(J41+J42+J43*1.8)</f>
        <v>576.7777777777778</v>
      </c>
      <c r="L41" s="759">
        <v>50</v>
      </c>
      <c r="M41" s="760">
        <f>SUM(G41/L41)</f>
        <v>13.43888888888889</v>
      </c>
      <c r="N41" s="761">
        <f>SUM(I41/L41)</f>
        <v>9.632222222222222</v>
      </c>
      <c r="O41" s="762">
        <f>SUM(K41/L41)</f>
        <v>11.535555555555556</v>
      </c>
      <c r="P41" s="763">
        <v>20</v>
      </c>
      <c r="Q41" s="764">
        <f>((V41-P41)/P41)*100</f>
        <v>-42.300000000000004</v>
      </c>
      <c r="R41" s="765"/>
      <c r="S41" s="766">
        <f>IF(Q41&lt;=0,5,IF(AND(Q41&gt;0,Q41&lt;20),5-(Q41/4),0))</f>
        <v>5</v>
      </c>
      <c r="T41" s="767" t="s">
        <v>70</v>
      </c>
      <c r="V41" s="769">
        <v>11.54</v>
      </c>
    </row>
    <row r="42" spans="1:22" ht="24.75">
      <c r="A42" s="422"/>
      <c r="B42" s="496" t="s">
        <v>84</v>
      </c>
      <c r="C42" s="497">
        <v>0</v>
      </c>
      <c r="D42" s="498">
        <v>0</v>
      </c>
      <c r="E42" s="499">
        <f t="shared" si="0"/>
        <v>0</v>
      </c>
      <c r="F42" s="555"/>
      <c r="G42" s="770"/>
      <c r="H42" s="771"/>
      <c r="I42" s="772"/>
      <c r="J42" s="773"/>
      <c r="K42" s="774"/>
      <c r="L42" s="612"/>
      <c r="M42" s="559"/>
      <c r="N42" s="507"/>
      <c r="O42" s="508"/>
      <c r="P42" s="509"/>
      <c r="Q42" s="510"/>
      <c r="R42" s="511"/>
      <c r="S42" s="512"/>
      <c r="T42" s="513"/>
      <c r="V42" s="419"/>
    </row>
    <row r="43" spans="1:22" ht="24.75">
      <c r="A43" s="411"/>
      <c r="B43" s="426" t="s">
        <v>87</v>
      </c>
      <c r="C43" s="427">
        <v>0</v>
      </c>
      <c r="D43" s="428">
        <v>0</v>
      </c>
      <c r="E43" s="429">
        <f>SUM(C43:D43)</f>
        <v>0</v>
      </c>
      <c r="F43" s="430"/>
      <c r="G43" s="775"/>
      <c r="H43" s="776"/>
      <c r="I43" s="777"/>
      <c r="J43" s="778"/>
      <c r="K43" s="779"/>
      <c r="L43" s="613"/>
      <c r="M43" s="431"/>
      <c r="N43" s="418"/>
      <c r="O43" s="420"/>
      <c r="P43" s="472"/>
      <c r="Q43" s="518"/>
      <c r="R43" s="519"/>
      <c r="S43" s="120"/>
      <c r="T43" s="421"/>
      <c r="V43" s="419"/>
    </row>
    <row r="44" spans="1:22" s="768" customFormat="1" ht="32.25" customHeight="1">
      <c r="A44" s="750" t="s">
        <v>157</v>
      </c>
      <c r="B44" s="751" t="s">
        <v>8</v>
      </c>
      <c r="C44" s="752">
        <v>20875</v>
      </c>
      <c r="D44" s="753">
        <v>18838</v>
      </c>
      <c r="E44" s="754">
        <f>SUM(C44:D44)</f>
        <v>39713</v>
      </c>
      <c r="F44" s="755">
        <f>SUM(C44/18)</f>
        <v>1159.7222222222222</v>
      </c>
      <c r="G44" s="756">
        <f>SUM(F44+(F45+F46)*1.8)</f>
        <v>1159.7222222222222</v>
      </c>
      <c r="H44" s="757">
        <f>SUM(D44/18)</f>
        <v>1046.5555555555557</v>
      </c>
      <c r="I44" s="756">
        <f>SUM(H44+H45+H46*1.8)</f>
        <v>1046.5555555555557</v>
      </c>
      <c r="J44" s="758">
        <f>SUM(E44/36)</f>
        <v>1103.138888888889</v>
      </c>
      <c r="K44" s="756">
        <f>SUM(J44+J45+J46*1.8)</f>
        <v>1103.138888888889</v>
      </c>
      <c r="L44" s="759">
        <v>45.5</v>
      </c>
      <c r="M44" s="760">
        <f>SUM(G44/L44)</f>
        <v>25.488400488400487</v>
      </c>
      <c r="N44" s="761">
        <f>SUM(I44/L44)</f>
        <v>23.001221001221005</v>
      </c>
      <c r="O44" s="762">
        <f>SUM(K44/L44)</f>
        <v>24.244810744810746</v>
      </c>
      <c r="P44" s="763">
        <v>25</v>
      </c>
      <c r="Q44" s="764">
        <f>((V44-P44)/P44)*100</f>
        <v>-3.0400000000000063</v>
      </c>
      <c r="R44" s="765"/>
      <c r="S44" s="766">
        <f>IF(Q44&lt;=0,5,IF(AND(Q44&gt;0,Q44&lt;20),5-(Q44/4),0))</f>
        <v>5</v>
      </c>
      <c r="T44" s="767" t="s">
        <v>69</v>
      </c>
      <c r="V44" s="785">
        <v>24.24</v>
      </c>
    </row>
    <row r="45" spans="1:22" ht="24.75">
      <c r="A45" s="422"/>
      <c r="B45" s="496" t="s">
        <v>84</v>
      </c>
      <c r="C45" s="497">
        <v>0</v>
      </c>
      <c r="D45" s="498">
        <v>0</v>
      </c>
      <c r="E45" s="499">
        <f>SUM(C45:D45)</f>
        <v>0</v>
      </c>
      <c r="F45" s="555"/>
      <c r="G45" s="770"/>
      <c r="H45" s="771"/>
      <c r="I45" s="772"/>
      <c r="J45" s="773"/>
      <c r="K45" s="774"/>
      <c r="L45" s="612"/>
      <c r="M45" s="559"/>
      <c r="N45" s="507"/>
      <c r="O45" s="508"/>
      <c r="P45" s="509"/>
      <c r="Q45" s="510"/>
      <c r="R45" s="511"/>
      <c r="S45" s="512"/>
      <c r="T45" s="513"/>
      <c r="V45" s="419"/>
    </row>
    <row r="46" spans="1:22" ht="24.75">
      <c r="A46" s="411"/>
      <c r="B46" s="426" t="s">
        <v>87</v>
      </c>
      <c r="C46" s="427">
        <v>0</v>
      </c>
      <c r="D46" s="428">
        <v>0</v>
      </c>
      <c r="E46" s="429">
        <f>SUM(C46:D46)</f>
        <v>0</v>
      </c>
      <c r="F46" s="430"/>
      <c r="G46" s="412"/>
      <c r="H46" s="413"/>
      <c r="I46" s="414"/>
      <c r="J46" s="415"/>
      <c r="K46" s="416"/>
      <c r="L46" s="613"/>
      <c r="M46" s="431"/>
      <c r="N46" s="418"/>
      <c r="O46" s="420"/>
      <c r="P46" s="472"/>
      <c r="Q46" s="518"/>
      <c r="R46" s="519"/>
      <c r="S46" s="120"/>
      <c r="T46" s="421"/>
      <c r="V46" s="419"/>
    </row>
    <row r="47" spans="1:22" s="457" customFormat="1" ht="42.75" customHeight="1">
      <c r="A47" s="459" t="s">
        <v>19</v>
      </c>
      <c r="B47" s="532" t="s">
        <v>8</v>
      </c>
      <c r="C47" s="533">
        <v>8765</v>
      </c>
      <c r="D47" s="534">
        <v>8220</v>
      </c>
      <c r="E47" s="535">
        <f t="shared" si="0"/>
        <v>16985</v>
      </c>
      <c r="F47" s="536">
        <f>SUM(C47/18)</f>
        <v>486.94444444444446</v>
      </c>
      <c r="G47" s="537"/>
      <c r="H47" s="538">
        <f>SUM(D47/18)</f>
        <v>456.6666666666667</v>
      </c>
      <c r="I47" s="537"/>
      <c r="J47" s="539">
        <f>SUM(E47/36)</f>
        <v>471.80555555555554</v>
      </c>
      <c r="K47" s="537"/>
      <c r="L47" s="610">
        <v>34</v>
      </c>
      <c r="M47" s="782">
        <f>SUM(G47/L47)</f>
        <v>0</v>
      </c>
      <c r="N47" s="783">
        <f>SUM(I47/L47)</f>
        <v>0</v>
      </c>
      <c r="O47" s="784">
        <f>SUM(K47/L47)</f>
        <v>0</v>
      </c>
      <c r="P47" s="543"/>
      <c r="Q47" s="781"/>
      <c r="R47" s="542"/>
      <c r="S47" s="554">
        <f>(S48+S51)/2</f>
        <v>5</v>
      </c>
      <c r="T47" s="557"/>
      <c r="U47" s="575"/>
      <c r="V47" s="456"/>
    </row>
    <row r="48" spans="1:22" s="768" customFormat="1" ht="32.25" customHeight="1">
      <c r="A48" s="750" t="s">
        <v>156</v>
      </c>
      <c r="B48" s="751" t="s">
        <v>8</v>
      </c>
      <c r="C48" s="752">
        <v>2500</v>
      </c>
      <c r="D48" s="753">
        <v>2527</v>
      </c>
      <c r="E48" s="754">
        <f aca="true" t="shared" si="1" ref="E48:E54">SUM(C48:D48)</f>
        <v>5027</v>
      </c>
      <c r="F48" s="755">
        <f>SUM(C48/18)</f>
        <v>138.88888888888889</v>
      </c>
      <c r="G48" s="756">
        <f>SUM(F48+(F49+F50)*2)</f>
        <v>138.88888888888889</v>
      </c>
      <c r="H48" s="757">
        <f>SUM(D48/18)</f>
        <v>140.38888888888889</v>
      </c>
      <c r="I48" s="756">
        <f>SUM(H48+H49+H50*2)</f>
        <v>140.38888888888889</v>
      </c>
      <c r="J48" s="758">
        <f>SUM(E48/36)</f>
        <v>139.63888888888889</v>
      </c>
      <c r="K48" s="756">
        <f>SUM(J48+J49+J50*2)</f>
        <v>139.63888888888889</v>
      </c>
      <c r="L48" s="759">
        <v>14</v>
      </c>
      <c r="M48" s="760">
        <f>SUM(G48/L48)</f>
        <v>9.920634920634921</v>
      </c>
      <c r="N48" s="761">
        <f>SUM(I48/L48)</f>
        <v>10.027777777777777</v>
      </c>
      <c r="O48" s="762">
        <f>SUM(K48/L48)</f>
        <v>9.97420634920635</v>
      </c>
      <c r="P48" s="763">
        <v>20</v>
      </c>
      <c r="Q48" s="764">
        <f>((V48-P48)/P48)*100</f>
        <v>-50.14999999999999</v>
      </c>
      <c r="R48" s="765"/>
      <c r="S48" s="766">
        <f>IF(Q48&lt;=0,5,IF(AND(Q48&gt;0,Q48&lt;20),5-(Q48/4),0))</f>
        <v>5</v>
      </c>
      <c r="T48" s="767" t="s">
        <v>70</v>
      </c>
      <c r="V48" s="769">
        <v>9.97</v>
      </c>
    </row>
    <row r="49" spans="1:22" ht="24.75">
      <c r="A49" s="422"/>
      <c r="B49" s="496" t="s">
        <v>84</v>
      </c>
      <c r="C49" s="497">
        <v>0</v>
      </c>
      <c r="D49" s="498">
        <v>0</v>
      </c>
      <c r="E49" s="499">
        <f t="shared" si="1"/>
        <v>0</v>
      </c>
      <c r="F49" s="555"/>
      <c r="G49" s="770"/>
      <c r="H49" s="771"/>
      <c r="I49" s="772"/>
      <c r="J49" s="773"/>
      <c r="K49" s="774"/>
      <c r="L49" s="612"/>
      <c r="M49" s="559"/>
      <c r="N49" s="507"/>
      <c r="O49" s="508"/>
      <c r="P49" s="509"/>
      <c r="Q49" s="510"/>
      <c r="R49" s="511"/>
      <c r="S49" s="512"/>
      <c r="T49" s="513"/>
      <c r="V49" s="419"/>
    </row>
    <row r="50" spans="1:22" ht="24.75">
      <c r="A50" s="411"/>
      <c r="B50" s="426" t="s">
        <v>87</v>
      </c>
      <c r="C50" s="427">
        <v>0</v>
      </c>
      <c r="D50" s="428">
        <v>0</v>
      </c>
      <c r="E50" s="429">
        <f t="shared" si="1"/>
        <v>0</v>
      </c>
      <c r="F50" s="430"/>
      <c r="G50" s="775"/>
      <c r="H50" s="776"/>
      <c r="I50" s="777"/>
      <c r="J50" s="778"/>
      <c r="K50" s="779"/>
      <c r="L50" s="613"/>
      <c r="M50" s="431"/>
      <c r="N50" s="418"/>
      <c r="O50" s="420"/>
      <c r="P50" s="472"/>
      <c r="Q50" s="518"/>
      <c r="R50" s="519"/>
      <c r="S50" s="120"/>
      <c r="T50" s="421"/>
      <c r="V50" s="419"/>
    </row>
    <row r="51" spans="1:22" s="768" customFormat="1" ht="32.25" customHeight="1">
      <c r="A51" s="750" t="s">
        <v>157</v>
      </c>
      <c r="B51" s="751" t="s">
        <v>8</v>
      </c>
      <c r="C51" s="752">
        <v>6265</v>
      </c>
      <c r="D51" s="753">
        <v>5594</v>
      </c>
      <c r="E51" s="754">
        <f t="shared" si="1"/>
        <v>11859</v>
      </c>
      <c r="F51" s="755">
        <f>SUM(C51/18)</f>
        <v>348.05555555555554</v>
      </c>
      <c r="G51" s="756">
        <f>SUM(F51+(F52+F53)*1.8)</f>
        <v>348.05555555555554</v>
      </c>
      <c r="H51" s="757">
        <f>SUM(D51/18)</f>
        <v>310.77777777777777</v>
      </c>
      <c r="I51" s="756">
        <f>SUM(H51+H52+H53*1.8)</f>
        <v>310.77777777777777</v>
      </c>
      <c r="J51" s="758">
        <f>SUM(E51/36)</f>
        <v>329.4166666666667</v>
      </c>
      <c r="K51" s="756">
        <f>SUM(J51+J52+J53*1.8)</f>
        <v>329.4166666666667</v>
      </c>
      <c r="L51" s="759">
        <v>20</v>
      </c>
      <c r="M51" s="760">
        <f>SUM(G51/L51)</f>
        <v>17.40277777777778</v>
      </c>
      <c r="N51" s="761">
        <f>SUM(I51/L51)</f>
        <v>15.538888888888888</v>
      </c>
      <c r="O51" s="762">
        <f>SUM(K51/L51)</f>
        <v>16.470833333333335</v>
      </c>
      <c r="P51" s="763">
        <v>25</v>
      </c>
      <c r="Q51" s="764">
        <f>((V51-P51)/P51)*100</f>
        <v>-34.120000000000005</v>
      </c>
      <c r="R51" s="765"/>
      <c r="S51" s="766">
        <f>IF(Q51&lt;=0,5,IF(AND(Q51&gt;0,Q51&lt;20),5-(Q51/4),0))</f>
        <v>5</v>
      </c>
      <c r="T51" s="767" t="s">
        <v>69</v>
      </c>
      <c r="V51" s="769">
        <v>16.47</v>
      </c>
    </row>
    <row r="52" spans="1:22" ht="24.75">
      <c r="A52" s="422"/>
      <c r="B52" s="496" t="s">
        <v>84</v>
      </c>
      <c r="C52" s="497">
        <v>0</v>
      </c>
      <c r="D52" s="498">
        <v>0</v>
      </c>
      <c r="E52" s="499">
        <f t="shared" si="1"/>
        <v>0</v>
      </c>
      <c r="F52" s="555"/>
      <c r="G52" s="770"/>
      <c r="H52" s="771"/>
      <c r="I52" s="772"/>
      <c r="J52" s="773"/>
      <c r="K52" s="774"/>
      <c r="L52" s="612"/>
      <c r="M52" s="559"/>
      <c r="N52" s="507"/>
      <c r="O52" s="508"/>
      <c r="P52" s="509"/>
      <c r="Q52" s="510"/>
      <c r="R52" s="511"/>
      <c r="S52" s="512"/>
      <c r="T52" s="513"/>
      <c r="V52" s="419"/>
    </row>
    <row r="53" spans="1:22" ht="24.75">
      <c r="A53" s="411"/>
      <c r="B53" s="426" t="s">
        <v>87</v>
      </c>
      <c r="C53" s="427">
        <v>0</v>
      </c>
      <c r="D53" s="428">
        <v>0</v>
      </c>
      <c r="E53" s="429">
        <f t="shared" si="1"/>
        <v>0</v>
      </c>
      <c r="F53" s="430"/>
      <c r="G53" s="412"/>
      <c r="H53" s="413"/>
      <c r="I53" s="414"/>
      <c r="J53" s="415"/>
      <c r="K53" s="416"/>
      <c r="L53" s="613"/>
      <c r="M53" s="431"/>
      <c r="N53" s="418"/>
      <c r="O53" s="420"/>
      <c r="P53" s="472"/>
      <c r="Q53" s="518"/>
      <c r="R53" s="519"/>
      <c r="S53" s="120"/>
      <c r="T53" s="421"/>
      <c r="V53" s="419"/>
    </row>
    <row r="54" spans="1:22" s="457" customFormat="1" ht="33.75" customHeight="1">
      <c r="A54" s="459" t="s">
        <v>29</v>
      </c>
      <c r="B54" s="532" t="s">
        <v>8</v>
      </c>
      <c r="C54" s="533">
        <v>10911</v>
      </c>
      <c r="D54" s="534">
        <v>11514</v>
      </c>
      <c r="E54" s="535">
        <f t="shared" si="1"/>
        <v>22425</v>
      </c>
      <c r="F54" s="536">
        <f>SUM(C54/18)</f>
        <v>606.1666666666666</v>
      </c>
      <c r="G54" s="537">
        <f>SUM(F54+(F55+F56)*1.8)</f>
        <v>640.6666666666666</v>
      </c>
      <c r="H54" s="538">
        <f>SUM(D54/18)</f>
        <v>639.6666666666666</v>
      </c>
      <c r="I54" s="537">
        <f>SUM(H54+(H55+H56)*1.8)</f>
        <v>681.2166666666666</v>
      </c>
      <c r="J54" s="539">
        <f>SUM(E54/36)</f>
        <v>622.9166666666666</v>
      </c>
      <c r="K54" s="537">
        <f>SUM(J54+(J55+J56)*1.8)</f>
        <v>660.9416666666666</v>
      </c>
      <c r="L54" s="610">
        <v>25</v>
      </c>
      <c r="M54" s="540">
        <f>SUM(G54/L54)</f>
        <v>25.626666666666665</v>
      </c>
      <c r="N54" s="541">
        <f>SUM(I54/L54)</f>
        <v>27.248666666666665</v>
      </c>
      <c r="O54" s="542">
        <f>SUM(K54/L54)</f>
        <v>26.437666666666665</v>
      </c>
      <c r="P54" s="543">
        <v>25</v>
      </c>
      <c r="Q54" s="493">
        <f>((V54-P54)/P54)*100</f>
        <v>5.760000000000005</v>
      </c>
      <c r="R54" s="542"/>
      <c r="S54" s="554">
        <f>IF(Q54&lt;=0,5,IF(AND(Q54&gt;0,Q54&lt;20),5-(Q54/4),0))</f>
        <v>3.5599999999999987</v>
      </c>
      <c r="T54" s="545" t="s">
        <v>69</v>
      </c>
      <c r="U54" s="575"/>
      <c r="V54" s="456">
        <v>26.44</v>
      </c>
    </row>
    <row r="55" spans="1:22" ht="24.75">
      <c r="A55" s="425"/>
      <c r="B55" s="496" t="s">
        <v>84</v>
      </c>
      <c r="C55" s="497">
        <v>47</v>
      </c>
      <c r="D55" s="498">
        <v>57</v>
      </c>
      <c r="E55" s="499">
        <f t="shared" si="0"/>
        <v>104</v>
      </c>
      <c r="F55" s="555">
        <f>SUM(C55/12)</f>
        <v>3.9166666666666665</v>
      </c>
      <c r="G55" s="501"/>
      <c r="H55" s="502">
        <f>SUM(D55/12)</f>
        <v>4.75</v>
      </c>
      <c r="I55" s="556"/>
      <c r="J55" s="504">
        <f>SUM(E55/24)</f>
        <v>4.333333333333333</v>
      </c>
      <c r="K55" s="505"/>
      <c r="L55" s="612"/>
      <c r="M55" s="550"/>
      <c r="N55" s="507"/>
      <c r="O55" s="551"/>
      <c r="P55" s="509"/>
      <c r="Q55" s="510"/>
      <c r="R55" s="511"/>
      <c r="S55" s="625"/>
      <c r="T55" s="513"/>
      <c r="V55" s="419"/>
    </row>
    <row r="56" spans="1:22" ht="24.75">
      <c r="A56" s="411"/>
      <c r="B56" s="426" t="s">
        <v>87</v>
      </c>
      <c r="C56" s="427">
        <v>183</v>
      </c>
      <c r="D56" s="428">
        <v>220</v>
      </c>
      <c r="E56" s="429">
        <f t="shared" si="0"/>
        <v>403</v>
      </c>
      <c r="F56" s="430">
        <f>SUM(C56/12)</f>
        <v>15.25</v>
      </c>
      <c r="G56" s="412"/>
      <c r="H56" s="413">
        <f>SUM(D56/12)</f>
        <v>18.333333333333332</v>
      </c>
      <c r="I56" s="436"/>
      <c r="J56" s="415">
        <f>SUM(E56/24)</f>
        <v>16.791666666666668</v>
      </c>
      <c r="K56" s="416"/>
      <c r="L56" s="613"/>
      <c r="M56" s="435"/>
      <c r="N56" s="418"/>
      <c r="O56" s="433"/>
      <c r="P56" s="472"/>
      <c r="Q56" s="518"/>
      <c r="R56" s="519"/>
      <c r="S56" s="120"/>
      <c r="T56" s="421"/>
      <c r="V56" s="419"/>
    </row>
    <row r="57" spans="1:22" s="457" customFormat="1" ht="32.25" customHeight="1">
      <c r="A57" s="459" t="s">
        <v>78</v>
      </c>
      <c r="B57" s="532" t="s">
        <v>8</v>
      </c>
      <c r="C57" s="533">
        <v>3998</v>
      </c>
      <c r="D57" s="534">
        <v>3817</v>
      </c>
      <c r="E57" s="535">
        <f t="shared" si="0"/>
        <v>7815</v>
      </c>
      <c r="F57" s="536">
        <f>C57/18</f>
        <v>222.11111111111111</v>
      </c>
      <c r="G57" s="537">
        <f>SUM(F57+(F58+F59)*2)</f>
        <v>336.44444444444446</v>
      </c>
      <c r="H57" s="538">
        <f>SUM(D57/18)</f>
        <v>212.05555555555554</v>
      </c>
      <c r="I57" s="537">
        <f>SUM(H57+(H58+H59)*2)</f>
        <v>303.22222222222223</v>
      </c>
      <c r="J57" s="539">
        <f>SUM(E57/36)</f>
        <v>217.08333333333334</v>
      </c>
      <c r="K57" s="537">
        <f>SUM(J57+(J58+J59)*2)</f>
        <v>319.83333333333337</v>
      </c>
      <c r="L57" s="610">
        <v>18</v>
      </c>
      <c r="M57" s="540">
        <f>SUM(G57/L57)</f>
        <v>18.691358024691358</v>
      </c>
      <c r="N57" s="541">
        <f>SUM(I57/L57)</f>
        <v>16.84567901234568</v>
      </c>
      <c r="O57" s="542">
        <f>SUM(K57/L57)</f>
        <v>17.76851851851852</v>
      </c>
      <c r="P57" s="543">
        <v>20</v>
      </c>
      <c r="Q57" s="493">
        <f>((V57-P57)/P57)*100</f>
        <v>-11.150000000000002</v>
      </c>
      <c r="R57" s="542"/>
      <c r="S57" s="544">
        <f>IF(Q57&lt;=0,5,IF(AND(Q57&gt;0,Q57&lt;20),5-(Q57/4),0))</f>
        <v>5</v>
      </c>
      <c r="T57" s="545" t="s">
        <v>70</v>
      </c>
      <c r="U57" s="576"/>
      <c r="V57" s="456">
        <v>17.77</v>
      </c>
    </row>
    <row r="58" spans="1:22" ht="24.75">
      <c r="A58" s="425"/>
      <c r="B58" s="496" t="s">
        <v>84</v>
      </c>
      <c r="C58" s="497">
        <v>686</v>
      </c>
      <c r="D58" s="498">
        <v>547</v>
      </c>
      <c r="E58" s="499">
        <f t="shared" si="0"/>
        <v>1233</v>
      </c>
      <c r="F58" s="555">
        <f>SUM(C58/12)</f>
        <v>57.166666666666664</v>
      </c>
      <c r="G58" s="547"/>
      <c r="H58" s="548">
        <f>D58/12</f>
        <v>45.583333333333336</v>
      </c>
      <c r="I58" s="549"/>
      <c r="J58" s="504">
        <f>SUM(E58/24)</f>
        <v>51.375</v>
      </c>
      <c r="K58" s="505"/>
      <c r="L58" s="614"/>
      <c r="M58" s="550"/>
      <c r="N58" s="507"/>
      <c r="O58" s="551"/>
      <c r="P58" s="509"/>
      <c r="Q58" s="552"/>
      <c r="R58" s="551"/>
      <c r="S58" s="553"/>
      <c r="T58" s="513"/>
      <c r="V58" s="419"/>
    </row>
    <row r="59" spans="1:22" ht="24.75">
      <c r="A59" s="411"/>
      <c r="B59" s="426" t="s">
        <v>87</v>
      </c>
      <c r="C59" s="427">
        <v>0</v>
      </c>
      <c r="D59" s="428">
        <v>0</v>
      </c>
      <c r="E59" s="429">
        <f t="shared" si="0"/>
        <v>0</v>
      </c>
      <c r="F59" s="437"/>
      <c r="G59" s="438"/>
      <c r="H59" s="439"/>
      <c r="I59" s="440"/>
      <c r="J59" s="415"/>
      <c r="K59" s="416"/>
      <c r="L59" s="615"/>
      <c r="M59" s="435"/>
      <c r="N59" s="418"/>
      <c r="O59" s="433"/>
      <c r="P59" s="472"/>
      <c r="Q59" s="419"/>
      <c r="R59" s="433"/>
      <c r="S59" s="122"/>
      <c r="T59" s="421"/>
      <c r="V59" s="419"/>
    </row>
    <row r="60" spans="1:22" s="457" customFormat="1" ht="31.5" customHeight="1">
      <c r="A60" s="459" t="s">
        <v>72</v>
      </c>
      <c r="B60" s="532" t="s">
        <v>8</v>
      </c>
      <c r="C60" s="533">
        <v>0</v>
      </c>
      <c r="D60" s="534">
        <v>0</v>
      </c>
      <c r="E60" s="535">
        <f t="shared" si="0"/>
        <v>0</v>
      </c>
      <c r="F60" s="597">
        <f>SUM(C60/18)</f>
        <v>0</v>
      </c>
      <c r="G60" s="537">
        <f>SUM(F60+(F61+F62)*2)</f>
        <v>35.16666666666667</v>
      </c>
      <c r="H60" s="538">
        <f>SUM(D60/18)</f>
        <v>0</v>
      </c>
      <c r="I60" s="537">
        <f>SUM(H60+(H61+H62)*2)</f>
        <v>17.5</v>
      </c>
      <c r="J60" s="596">
        <f>SUM(E60/36)</f>
        <v>0</v>
      </c>
      <c r="K60" s="537">
        <f>SUM(J60+(J61+J62)*2)</f>
        <v>26.333333333333332</v>
      </c>
      <c r="L60" s="610">
        <v>2</v>
      </c>
      <c r="M60" s="540">
        <f>SUM(G60/L60)</f>
        <v>17.583333333333336</v>
      </c>
      <c r="N60" s="541">
        <f>SUM(I60/L60)</f>
        <v>8.75</v>
      </c>
      <c r="O60" s="542">
        <f>SUM(K60/L60)</f>
        <v>13.166666666666666</v>
      </c>
      <c r="P60" s="543">
        <v>20</v>
      </c>
      <c r="Q60" s="493">
        <f>((V60-P60)/P60)*100</f>
        <v>-34.150000000000006</v>
      </c>
      <c r="R60" s="542"/>
      <c r="S60" s="544">
        <f>IF(Q60&lt;=0,5,IF(AND(Q60&gt;0,Q60&lt;20),5-(Q60/4),0))</f>
        <v>5</v>
      </c>
      <c r="T60" s="545" t="s">
        <v>70</v>
      </c>
      <c r="U60" s="575"/>
      <c r="V60" s="456">
        <v>13.17</v>
      </c>
    </row>
    <row r="61" spans="1:22" ht="24.75">
      <c r="A61" s="425"/>
      <c r="B61" s="496" t="s">
        <v>84</v>
      </c>
      <c r="C61" s="497">
        <v>99</v>
      </c>
      <c r="D61" s="498">
        <v>35</v>
      </c>
      <c r="E61" s="499">
        <f t="shared" si="0"/>
        <v>134</v>
      </c>
      <c r="F61" s="546">
        <f>SUM(C61/12)</f>
        <v>8.25</v>
      </c>
      <c r="G61" s="547"/>
      <c r="H61" s="548">
        <f>SUM(D61/12)</f>
        <v>2.9166666666666665</v>
      </c>
      <c r="I61" s="549"/>
      <c r="J61" s="548">
        <f>SUM(E61/24)</f>
        <v>5.583333333333333</v>
      </c>
      <c r="K61" s="505"/>
      <c r="L61" s="614"/>
      <c r="M61" s="550"/>
      <c r="N61" s="507"/>
      <c r="O61" s="551"/>
      <c r="P61" s="509"/>
      <c r="Q61" s="552"/>
      <c r="R61" s="551"/>
      <c r="S61" s="553"/>
      <c r="T61" s="513"/>
      <c r="V61" s="419"/>
    </row>
    <row r="62" spans="1:22" ht="24.75">
      <c r="A62" s="411"/>
      <c r="B62" s="426" t="s">
        <v>87</v>
      </c>
      <c r="C62" s="427">
        <v>112</v>
      </c>
      <c r="D62" s="428">
        <v>70</v>
      </c>
      <c r="E62" s="429">
        <f t="shared" si="0"/>
        <v>182</v>
      </c>
      <c r="F62" s="437">
        <f>SUM(C62/12)</f>
        <v>9.333333333333334</v>
      </c>
      <c r="G62" s="438"/>
      <c r="H62" s="439">
        <f>SUM(D62/12)</f>
        <v>5.833333333333333</v>
      </c>
      <c r="I62" s="440"/>
      <c r="J62" s="439">
        <f>SUM(E62/24)</f>
        <v>7.583333333333333</v>
      </c>
      <c r="K62" s="416"/>
      <c r="L62" s="615"/>
      <c r="M62" s="435"/>
      <c r="N62" s="418"/>
      <c r="O62" s="433"/>
      <c r="P62" s="472"/>
      <c r="Q62" s="419"/>
      <c r="R62" s="433"/>
      <c r="S62" s="122"/>
      <c r="T62" s="421"/>
      <c r="V62" s="419"/>
    </row>
    <row r="63" spans="1:22" s="464" customFormat="1" ht="24.75">
      <c r="A63" s="516" t="s">
        <v>86</v>
      </c>
      <c r="B63" s="520" t="s">
        <v>8</v>
      </c>
      <c r="C63" s="521">
        <f aca="true" t="shared" si="2" ref="C63:L63">C7+C10+C13+C16+C19+C22+C25+C28+C31+C34+C37+C40+C47+C54+C57+C60</f>
        <v>290288</v>
      </c>
      <c r="D63" s="521">
        <f t="shared" si="2"/>
        <v>273001</v>
      </c>
      <c r="E63" s="521">
        <f t="shared" si="2"/>
        <v>563289</v>
      </c>
      <c r="F63" s="522">
        <f t="shared" si="2"/>
        <v>16127.11111111111</v>
      </c>
      <c r="G63" s="522">
        <f t="shared" si="2"/>
        <v>14325.083333333332</v>
      </c>
      <c r="H63" s="522">
        <f t="shared" si="2"/>
        <v>15166.72222222222</v>
      </c>
      <c r="I63" s="522">
        <f t="shared" si="2"/>
        <v>13417.722222222223</v>
      </c>
      <c r="J63" s="522">
        <f t="shared" si="2"/>
        <v>15646.916666666664</v>
      </c>
      <c r="K63" s="522">
        <f t="shared" si="2"/>
        <v>13850.052777777779</v>
      </c>
      <c r="L63" s="616">
        <f t="shared" si="2"/>
        <v>683.5</v>
      </c>
      <c r="M63" s="523">
        <f>G63/L63</f>
        <v>20.958424774445255</v>
      </c>
      <c r="N63" s="524">
        <f>I63/L63</f>
        <v>19.630903031780868</v>
      </c>
      <c r="O63" s="525">
        <f>K63/L63</f>
        <v>20.263427619279852</v>
      </c>
      <c r="P63" s="565"/>
      <c r="Q63" s="566"/>
      <c r="R63" s="566"/>
      <c r="S63" s="567"/>
      <c r="T63" s="568"/>
      <c r="U63" s="577"/>
      <c r="V63" s="465"/>
    </row>
    <row r="64" spans="1:22" s="464" customFormat="1" ht="24.75">
      <c r="A64" s="517"/>
      <c r="B64" s="526" t="s">
        <v>84</v>
      </c>
      <c r="C64" s="527">
        <f aca="true" t="shared" si="3" ref="C64:L64">C8+C11+C14+C17+C20+C23+C26+C29+C32+C35+C38+C42+C45+C49+C52+C55+C58+C61</f>
        <v>2317</v>
      </c>
      <c r="D64" s="527">
        <f t="shared" si="3"/>
        <v>1839</v>
      </c>
      <c r="E64" s="527">
        <f t="shared" si="3"/>
        <v>4156</v>
      </c>
      <c r="F64" s="528">
        <f t="shared" si="3"/>
        <v>204.83333333333331</v>
      </c>
      <c r="G64" s="528">
        <f t="shared" si="3"/>
        <v>0</v>
      </c>
      <c r="H64" s="528">
        <f t="shared" si="3"/>
        <v>153.25</v>
      </c>
      <c r="I64" s="528">
        <f t="shared" si="3"/>
        <v>0</v>
      </c>
      <c r="J64" s="528">
        <f t="shared" si="3"/>
        <v>173.16666666666666</v>
      </c>
      <c r="K64" s="528">
        <f t="shared" si="3"/>
        <v>0</v>
      </c>
      <c r="L64" s="528">
        <f t="shared" si="3"/>
        <v>0</v>
      </c>
      <c r="M64" s="529"/>
      <c r="N64" s="530"/>
      <c r="O64" s="531"/>
      <c r="P64" s="573"/>
      <c r="Q64" s="479"/>
      <c r="R64" s="479"/>
      <c r="S64" s="480"/>
      <c r="T64" s="574"/>
      <c r="U64" s="577"/>
      <c r="V64" s="460"/>
    </row>
    <row r="65" spans="1:22" s="464" customFormat="1" ht="24.75">
      <c r="A65" s="515"/>
      <c r="B65" s="465" t="s">
        <v>87</v>
      </c>
      <c r="C65" s="470">
        <f aca="true" t="shared" si="4" ref="C65:K65">C9+C12+C15+C18+C21+C24+C27+C30+C33+C36+C39+C43+C46+C50+C53+C56+C59+C62</f>
        <v>643</v>
      </c>
      <c r="D65" s="470">
        <f t="shared" si="4"/>
        <v>994</v>
      </c>
      <c r="E65" s="470">
        <f t="shared" si="4"/>
        <v>1637</v>
      </c>
      <c r="F65" s="471">
        <f t="shared" si="4"/>
        <v>64.25</v>
      </c>
      <c r="G65" s="471">
        <f t="shared" si="4"/>
        <v>0</v>
      </c>
      <c r="H65" s="471">
        <f t="shared" si="4"/>
        <v>72.83333333333333</v>
      </c>
      <c r="I65" s="471">
        <f t="shared" si="4"/>
        <v>0</v>
      </c>
      <c r="J65" s="471">
        <f t="shared" si="4"/>
        <v>63.208333333333336</v>
      </c>
      <c r="K65" s="471">
        <f t="shared" si="4"/>
        <v>0</v>
      </c>
      <c r="L65" s="471">
        <f>L9+L12+L15+L18+L21+L24+L27+L30+L33+L36+L39+L43+L46+L50+L53++L56+L59+L62</f>
        <v>0</v>
      </c>
      <c r="M65" s="469"/>
      <c r="N65" s="466"/>
      <c r="O65" s="467"/>
      <c r="P65" s="569"/>
      <c r="Q65" s="570"/>
      <c r="R65" s="570"/>
      <c r="S65" s="571"/>
      <c r="T65" s="572"/>
      <c r="U65" s="577"/>
      <c r="V65" s="460"/>
    </row>
    <row r="66" spans="1:22" ht="41.25" customHeight="1">
      <c r="A66" s="514" t="s">
        <v>21</v>
      </c>
      <c r="B66" s="133" t="s">
        <v>161</v>
      </c>
      <c r="C66" s="441"/>
      <c r="D66" s="441"/>
      <c r="E66" s="442"/>
      <c r="F66" s="443"/>
      <c r="G66" s="443"/>
      <c r="H66" s="443"/>
      <c r="I66" s="444"/>
      <c r="J66" s="443"/>
      <c r="K66" s="443"/>
      <c r="L66" s="622"/>
      <c r="M66" s="446"/>
      <c r="N66" s="447"/>
      <c r="O66" s="447"/>
      <c r="P66" s="447"/>
      <c r="Q66" s="447"/>
      <c r="R66" s="447"/>
      <c r="S66" s="132"/>
      <c r="T66" s="448"/>
      <c r="V66" s="447"/>
    </row>
    <row r="67" spans="3:22" ht="21" customHeight="1">
      <c r="C67" s="442" t="s">
        <v>160</v>
      </c>
      <c r="D67" s="441"/>
      <c r="E67" s="442"/>
      <c r="F67" s="443"/>
      <c r="G67" s="443"/>
      <c r="H67" s="443"/>
      <c r="I67" s="444"/>
      <c r="J67" s="443"/>
      <c r="K67" s="443"/>
      <c r="L67" s="622"/>
      <c r="M67" s="446"/>
      <c r="N67" s="447"/>
      <c r="O67" s="447"/>
      <c r="P67" s="447"/>
      <c r="Q67" s="447"/>
      <c r="R67" s="447"/>
      <c r="S67" s="132"/>
      <c r="T67" s="448"/>
      <c r="V67" s="447"/>
    </row>
    <row r="68" spans="3:22" ht="21" customHeight="1">
      <c r="C68" s="442" t="s">
        <v>158</v>
      </c>
      <c r="D68" s="441"/>
      <c r="E68" s="442"/>
      <c r="F68" s="443"/>
      <c r="G68" s="443"/>
      <c r="H68" s="443"/>
      <c r="I68" s="444"/>
      <c r="J68" s="443"/>
      <c r="K68" s="443"/>
      <c r="L68" s="622"/>
      <c r="M68" s="446"/>
      <c r="N68" s="447"/>
      <c r="O68" s="447"/>
      <c r="P68" s="447"/>
      <c r="Q68" s="447"/>
      <c r="R68" s="447"/>
      <c r="S68" s="132"/>
      <c r="T68" s="448"/>
      <c r="V68" s="447"/>
    </row>
    <row r="69" spans="1:14" ht="21" customHeight="1">
      <c r="A69" s="136"/>
      <c r="B69" s="133" t="s">
        <v>162</v>
      </c>
      <c r="C69" s="441"/>
      <c r="D69" s="441"/>
      <c r="E69" s="138"/>
      <c r="F69" s="445"/>
      <c r="G69" s="138"/>
      <c r="H69" s="139"/>
      <c r="I69" s="242"/>
      <c r="J69" s="141"/>
      <c r="K69" s="141"/>
      <c r="L69" s="623"/>
      <c r="M69" s="141"/>
      <c r="N69" s="140"/>
    </row>
    <row r="70" spans="2:12" ht="21" customHeight="1">
      <c r="B70" s="449" t="s">
        <v>159</v>
      </c>
      <c r="F70" s="445"/>
      <c r="L70" s="624"/>
    </row>
    <row r="71" spans="2:12" ht="24.75">
      <c r="B71" s="133" t="s">
        <v>98</v>
      </c>
      <c r="L71" s="624"/>
    </row>
    <row r="72" spans="3:12" ht="24.75">
      <c r="C72" s="133" t="s">
        <v>99</v>
      </c>
      <c r="D72" s="133" t="s">
        <v>100</v>
      </c>
      <c r="L72" s="624"/>
    </row>
    <row r="73" spans="3:12" ht="24.75">
      <c r="C73" s="133" t="s">
        <v>101</v>
      </c>
      <c r="L73" s="624"/>
    </row>
    <row r="74" spans="3:12" ht="24.75">
      <c r="C74" s="133" t="s">
        <v>102</v>
      </c>
      <c r="L74" s="624"/>
    </row>
    <row r="75" ht="24.75">
      <c r="L75" s="624"/>
    </row>
    <row r="76" ht="24.75">
      <c r="L76" s="624"/>
    </row>
    <row r="77" ht="24.75">
      <c r="L77" s="624"/>
    </row>
    <row r="78" ht="24.75">
      <c r="L78" s="624"/>
    </row>
    <row r="79" ht="24.75">
      <c r="L79" s="624"/>
    </row>
    <row r="80" ht="24.75">
      <c r="L80" s="624"/>
    </row>
    <row r="81" ht="24.75">
      <c r="L81" s="624"/>
    </row>
    <row r="82" ht="24.75">
      <c r="L82" s="624"/>
    </row>
    <row r="83" ht="24.75">
      <c r="L83" s="624"/>
    </row>
    <row r="84" ht="24.75">
      <c r="L84" s="624"/>
    </row>
    <row r="85" ht="24.75">
      <c r="L85" s="624"/>
    </row>
    <row r="86" ht="24.75">
      <c r="L86" s="624"/>
    </row>
    <row r="87" ht="24.75">
      <c r="L87" s="624"/>
    </row>
    <row r="88" ht="24.75">
      <c r="L88" s="624"/>
    </row>
    <row r="89" ht="24.75">
      <c r="L89" s="624"/>
    </row>
    <row r="90" ht="24.75">
      <c r="L90" s="624"/>
    </row>
    <row r="91" ht="24.75">
      <c r="L91" s="624"/>
    </row>
    <row r="92" ht="24.75">
      <c r="L92" s="624"/>
    </row>
    <row r="93" ht="24.75">
      <c r="L93" s="624"/>
    </row>
    <row r="94" ht="24.75">
      <c r="L94" s="624"/>
    </row>
  </sheetData>
  <sheetProtection/>
  <mergeCells count="11">
    <mergeCell ref="C4:E4"/>
    <mergeCell ref="F4:G4"/>
    <mergeCell ref="H4:I4"/>
    <mergeCell ref="J4:K4"/>
    <mergeCell ref="T3:T6"/>
    <mergeCell ref="A3:A5"/>
    <mergeCell ref="C3:E3"/>
    <mergeCell ref="F3:K3"/>
    <mergeCell ref="M3:O4"/>
    <mergeCell ref="Q3:Q5"/>
    <mergeCell ref="S3:S5"/>
  </mergeCells>
  <conditionalFormatting sqref="U57">
    <cfRule type="cellIs" priority="61" dxfId="23" operator="equal" stopIfTrue="1">
      <formula>0</formula>
    </cfRule>
  </conditionalFormatting>
  <conditionalFormatting sqref="S57:S58 S61 S1:S3 S7:S55 S63:S65536">
    <cfRule type="cellIs" priority="59" dxfId="24" operator="equal" stopIfTrue="1">
      <formula>5</formula>
    </cfRule>
    <cfRule type="cellIs" priority="60" dxfId="25" operator="equal" stopIfTrue="1">
      <formula>0</formula>
    </cfRule>
  </conditionalFormatting>
  <conditionalFormatting sqref="S56">
    <cfRule type="cellIs" priority="31" dxfId="24" operator="equal" stopIfTrue="1">
      <formula>5</formula>
    </cfRule>
    <cfRule type="cellIs" priority="32" dxfId="25" operator="equal" stopIfTrue="1">
      <formula>0</formula>
    </cfRule>
  </conditionalFormatting>
  <conditionalFormatting sqref="S59">
    <cfRule type="cellIs" priority="29" dxfId="24" operator="equal" stopIfTrue="1">
      <formula>5</formula>
    </cfRule>
    <cfRule type="cellIs" priority="30" dxfId="25" operator="equal" stopIfTrue="1">
      <formula>0</formula>
    </cfRule>
  </conditionalFormatting>
  <conditionalFormatting sqref="S62">
    <cfRule type="cellIs" priority="27" dxfId="24" operator="equal" stopIfTrue="1">
      <formula>5</formula>
    </cfRule>
    <cfRule type="cellIs" priority="28" dxfId="25" operator="equal" stopIfTrue="1">
      <formula>0</formula>
    </cfRule>
  </conditionalFormatting>
  <conditionalFormatting sqref="S60">
    <cfRule type="cellIs" priority="25" dxfId="24" operator="equal" stopIfTrue="1">
      <formula>5</formula>
    </cfRule>
    <cfRule type="cellIs" priority="26" dxfId="25" operator="equal" stopIfTrue="1">
      <formula>0</formula>
    </cfRule>
  </conditionalFormatting>
  <conditionalFormatting sqref="S49">
    <cfRule type="cellIs" priority="11" dxfId="24" operator="equal" stopIfTrue="1">
      <formula>5</formula>
    </cfRule>
    <cfRule type="cellIs" priority="12" dxfId="25" operator="equal" stopIfTrue="1">
      <formula>0</formula>
    </cfRule>
  </conditionalFormatting>
  <conditionalFormatting sqref="S50">
    <cfRule type="cellIs" priority="9" dxfId="24" operator="equal" stopIfTrue="1">
      <formula>5</formula>
    </cfRule>
    <cfRule type="cellIs" priority="10" dxfId="25" operator="equal" stopIfTrue="1">
      <formula>0</formula>
    </cfRule>
  </conditionalFormatting>
  <conditionalFormatting sqref="S48">
    <cfRule type="cellIs" priority="7" dxfId="24" operator="equal" stopIfTrue="1">
      <formula>5</formula>
    </cfRule>
    <cfRule type="cellIs" priority="8" dxfId="25" operator="equal" stopIfTrue="1">
      <formula>0</formula>
    </cfRule>
  </conditionalFormatting>
  <conditionalFormatting sqref="S52">
    <cfRule type="cellIs" priority="5" dxfId="24" operator="equal" stopIfTrue="1">
      <formula>5</formula>
    </cfRule>
    <cfRule type="cellIs" priority="6" dxfId="25" operator="equal" stopIfTrue="1">
      <formula>0</formula>
    </cfRule>
  </conditionalFormatting>
  <conditionalFormatting sqref="S53">
    <cfRule type="cellIs" priority="3" dxfId="24" operator="equal" stopIfTrue="1">
      <formula>5</formula>
    </cfRule>
    <cfRule type="cellIs" priority="4" dxfId="25" operator="equal" stopIfTrue="1">
      <formula>0</formula>
    </cfRule>
  </conditionalFormatting>
  <conditionalFormatting sqref="S51">
    <cfRule type="cellIs" priority="1" dxfId="24" operator="equal" stopIfTrue="1">
      <formula>5</formula>
    </cfRule>
    <cfRule type="cellIs" priority="2" dxfId="25" operator="equal" stopIfTrue="1">
      <formula>0</formula>
    </cfRule>
  </conditionalFormatting>
  <printOptions/>
  <pageMargins left="0.31496062992125984" right="0.11811023622047245" top="0.4724409448818898" bottom="0.35433070866141736" header="0" footer="0"/>
  <pageSetup horizontalDpi="600" verticalDpi="600" orientation="landscape" paperSize="9" scale="75" r:id="rId1"/>
  <headerFooter>
    <oddHeader>&amp;R&amp;P</oddHeader>
    <oddFooter>&amp;R&amp;12&amp;F/&amp;A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="120" zoomScaleNormal="120" zoomScaleSheetLayoutView="11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21.75"/>
  <cols>
    <col min="1" max="1" width="5.140625" style="731" customWidth="1"/>
    <col min="2" max="2" width="19.7109375" style="732" customWidth="1"/>
    <col min="3" max="3" width="11.57421875" style="726" customWidth="1"/>
    <col min="4" max="4" width="9.57421875" style="726" bestFit="1" customWidth="1"/>
    <col min="5" max="6" width="9.28125" style="726" bestFit="1" customWidth="1"/>
    <col min="7" max="7" width="10.28125" style="726" customWidth="1"/>
    <col min="8" max="8" width="10.8515625" style="726" customWidth="1"/>
    <col min="9" max="9" width="11.421875" style="726" customWidth="1"/>
    <col min="10" max="10" width="9.140625" style="726" customWidth="1"/>
    <col min="11" max="11" width="7.57421875" style="726" bestFit="1" customWidth="1"/>
    <col min="12" max="12" width="8.00390625" style="726" bestFit="1" customWidth="1"/>
    <col min="13" max="13" width="8.00390625" style="726" customWidth="1"/>
    <col min="14" max="14" width="10.8515625" style="726" bestFit="1" customWidth="1"/>
    <col min="15" max="16384" width="9.140625" style="628" customWidth="1"/>
  </cols>
  <sheetData>
    <row r="1" spans="1:14" ht="26.25" customHeight="1">
      <c r="A1" s="857" t="s">
        <v>104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</row>
    <row r="2" spans="1:14" ht="23.25">
      <c r="A2" s="857" t="s">
        <v>105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</row>
    <row r="3" spans="1:14" ht="21.75" customHeight="1">
      <c r="A3" s="858" t="s">
        <v>106</v>
      </c>
      <c r="B3" s="859"/>
      <c r="C3" s="864" t="s">
        <v>107</v>
      </c>
      <c r="D3" s="867" t="s">
        <v>108</v>
      </c>
      <c r="E3" s="847"/>
      <c r="F3" s="868"/>
      <c r="G3" s="840" t="s">
        <v>73</v>
      </c>
      <c r="H3" s="841"/>
      <c r="I3" s="842"/>
      <c r="J3" s="843" t="s">
        <v>109</v>
      </c>
      <c r="K3" s="846" t="s">
        <v>41</v>
      </c>
      <c r="L3" s="847"/>
      <c r="M3" s="848"/>
      <c r="N3" s="629" t="s">
        <v>81</v>
      </c>
    </row>
    <row r="4" spans="1:14" ht="22.5" customHeight="1">
      <c r="A4" s="860"/>
      <c r="B4" s="861"/>
      <c r="C4" s="865"/>
      <c r="D4" s="869"/>
      <c r="E4" s="850"/>
      <c r="F4" s="870"/>
      <c r="G4" s="852" t="s">
        <v>7</v>
      </c>
      <c r="H4" s="853"/>
      <c r="I4" s="854"/>
      <c r="J4" s="844"/>
      <c r="K4" s="849"/>
      <c r="L4" s="850"/>
      <c r="M4" s="851"/>
      <c r="N4" s="630" t="s">
        <v>110</v>
      </c>
    </row>
    <row r="5" spans="1:14" ht="22.5">
      <c r="A5" s="862"/>
      <c r="B5" s="863"/>
      <c r="C5" s="866"/>
      <c r="D5" s="631" t="s">
        <v>17</v>
      </c>
      <c r="E5" s="632" t="s">
        <v>18</v>
      </c>
      <c r="F5" s="633" t="s">
        <v>39</v>
      </c>
      <c r="G5" s="631" t="s">
        <v>17</v>
      </c>
      <c r="H5" s="632" t="s">
        <v>18</v>
      </c>
      <c r="I5" s="634" t="s">
        <v>39</v>
      </c>
      <c r="J5" s="845"/>
      <c r="K5" s="631" t="s">
        <v>17</v>
      </c>
      <c r="L5" s="632" t="s">
        <v>18</v>
      </c>
      <c r="M5" s="634" t="s">
        <v>39</v>
      </c>
      <c r="N5" s="635" t="s">
        <v>34</v>
      </c>
    </row>
    <row r="6" spans="1:14" ht="22.5">
      <c r="A6" s="636" t="s">
        <v>111</v>
      </c>
      <c r="B6" s="637"/>
      <c r="C6" s="638" t="s">
        <v>8</v>
      </c>
      <c r="D6" s="639"/>
      <c r="E6" s="640"/>
      <c r="F6" s="641"/>
      <c r="G6" s="642"/>
      <c r="H6" s="643"/>
      <c r="I6" s="644"/>
      <c r="J6" s="645"/>
      <c r="K6" s="646"/>
      <c r="L6" s="647"/>
      <c r="M6" s="648"/>
      <c r="N6" s="649" t="s">
        <v>36</v>
      </c>
    </row>
    <row r="7" spans="1:14" ht="22.5">
      <c r="A7" s="650"/>
      <c r="B7" s="651" t="s">
        <v>112</v>
      </c>
      <c r="C7" s="652" t="s">
        <v>8</v>
      </c>
      <c r="D7" s="653">
        <v>237</v>
      </c>
      <c r="E7" s="654">
        <v>0</v>
      </c>
      <c r="F7" s="655">
        <f>SUM(D7:E7)</f>
        <v>237</v>
      </c>
      <c r="G7" s="656">
        <f>D7/18</f>
        <v>13.166666666666666</v>
      </c>
      <c r="H7" s="657">
        <f>E7/18</f>
        <v>0</v>
      </c>
      <c r="I7" s="658">
        <f>F7/36</f>
        <v>6.583333333333333</v>
      </c>
      <c r="J7" s="659"/>
      <c r="K7" s="660"/>
      <c r="L7" s="661"/>
      <c r="M7" s="662"/>
      <c r="N7" s="663"/>
    </row>
    <row r="8" spans="1:14" ht="22.5">
      <c r="A8" s="664"/>
      <c r="B8" s="665" t="s">
        <v>113</v>
      </c>
      <c r="C8" s="652" t="s">
        <v>8</v>
      </c>
      <c r="D8" s="666">
        <v>723</v>
      </c>
      <c r="E8" s="667">
        <v>399</v>
      </c>
      <c r="F8" s="655">
        <f aca="true" t="shared" si="0" ref="F8:F40">SUM(D8:E8)</f>
        <v>1122</v>
      </c>
      <c r="G8" s="656">
        <f aca="true" t="shared" si="1" ref="G8:H22">D8/18</f>
        <v>40.166666666666664</v>
      </c>
      <c r="H8" s="657">
        <f t="shared" si="1"/>
        <v>22.166666666666668</v>
      </c>
      <c r="I8" s="658">
        <f aca="true" t="shared" si="2" ref="I8:I22">F8/36</f>
        <v>31.166666666666668</v>
      </c>
      <c r="J8" s="668"/>
      <c r="K8" s="669"/>
      <c r="L8" s="670"/>
      <c r="M8" s="671"/>
      <c r="N8" s="672"/>
    </row>
    <row r="9" spans="1:14" ht="22.5">
      <c r="A9" s="673"/>
      <c r="B9" s="674" t="s">
        <v>114</v>
      </c>
      <c r="C9" s="652" t="s">
        <v>8</v>
      </c>
      <c r="D9" s="666">
        <v>942</v>
      </c>
      <c r="E9" s="667">
        <v>447</v>
      </c>
      <c r="F9" s="655">
        <f t="shared" si="0"/>
        <v>1389</v>
      </c>
      <c r="G9" s="656">
        <f t="shared" si="1"/>
        <v>52.333333333333336</v>
      </c>
      <c r="H9" s="657">
        <f t="shared" si="1"/>
        <v>24.833333333333332</v>
      </c>
      <c r="I9" s="658">
        <f t="shared" si="2"/>
        <v>38.583333333333336</v>
      </c>
      <c r="J9" s="668"/>
      <c r="K9" s="675"/>
      <c r="L9" s="676"/>
      <c r="M9" s="677"/>
      <c r="N9" s="672"/>
    </row>
    <row r="10" spans="1:14" ht="22.5">
      <c r="A10" s="678"/>
      <c r="B10" s="679" t="s">
        <v>115</v>
      </c>
      <c r="C10" s="652" t="s">
        <v>8</v>
      </c>
      <c r="D10" s="666">
        <v>837</v>
      </c>
      <c r="E10" s="667">
        <v>1088</v>
      </c>
      <c r="F10" s="655">
        <f t="shared" si="0"/>
        <v>1925</v>
      </c>
      <c r="G10" s="656">
        <f t="shared" si="1"/>
        <v>46.5</v>
      </c>
      <c r="H10" s="657">
        <f t="shared" si="1"/>
        <v>60.44444444444444</v>
      </c>
      <c r="I10" s="658">
        <f t="shared" si="2"/>
        <v>53.47222222222222</v>
      </c>
      <c r="J10" s="668"/>
      <c r="K10" s="669"/>
      <c r="L10" s="670"/>
      <c r="M10" s="671"/>
      <c r="N10" s="672"/>
    </row>
    <row r="11" spans="1:14" ht="22.5">
      <c r="A11" s="680"/>
      <c r="B11" s="679" t="s">
        <v>116</v>
      </c>
      <c r="C11" s="652" t="s">
        <v>8</v>
      </c>
      <c r="D11" s="666">
        <v>1708</v>
      </c>
      <c r="E11" s="667">
        <v>1462</v>
      </c>
      <c r="F11" s="655">
        <f t="shared" si="0"/>
        <v>3170</v>
      </c>
      <c r="G11" s="656">
        <f t="shared" si="1"/>
        <v>94.88888888888889</v>
      </c>
      <c r="H11" s="657">
        <f t="shared" si="1"/>
        <v>81.22222222222223</v>
      </c>
      <c r="I11" s="658">
        <f t="shared" si="2"/>
        <v>88.05555555555556</v>
      </c>
      <c r="J11" s="668"/>
      <c r="K11" s="675"/>
      <c r="L11" s="676"/>
      <c r="M11" s="677"/>
      <c r="N11" s="672"/>
    </row>
    <row r="12" spans="1:14" ht="22.5">
      <c r="A12" s="678"/>
      <c r="B12" s="679" t="s">
        <v>117</v>
      </c>
      <c r="C12" s="652" t="s">
        <v>8</v>
      </c>
      <c r="D12" s="666">
        <v>51</v>
      </c>
      <c r="E12" s="667">
        <v>244</v>
      </c>
      <c r="F12" s="655">
        <f t="shared" si="0"/>
        <v>295</v>
      </c>
      <c r="G12" s="656">
        <f t="shared" si="1"/>
        <v>2.8333333333333335</v>
      </c>
      <c r="H12" s="657">
        <f t="shared" si="1"/>
        <v>13.555555555555555</v>
      </c>
      <c r="I12" s="658">
        <f t="shared" si="2"/>
        <v>8.194444444444445</v>
      </c>
      <c r="J12" s="668"/>
      <c r="K12" s="669"/>
      <c r="L12" s="670"/>
      <c r="M12" s="671"/>
      <c r="N12" s="672"/>
    </row>
    <row r="13" spans="1:14" ht="22.5">
      <c r="A13" s="680"/>
      <c r="B13" s="679" t="s">
        <v>118</v>
      </c>
      <c r="C13" s="652" t="s">
        <v>8</v>
      </c>
      <c r="D13" s="666"/>
      <c r="E13" s="667">
        <v>279</v>
      </c>
      <c r="F13" s="655">
        <f t="shared" si="0"/>
        <v>279</v>
      </c>
      <c r="G13" s="656">
        <f t="shared" si="1"/>
        <v>0</v>
      </c>
      <c r="H13" s="657">
        <f t="shared" si="1"/>
        <v>15.5</v>
      </c>
      <c r="I13" s="658">
        <f t="shared" si="2"/>
        <v>7.75</v>
      </c>
      <c r="J13" s="668"/>
      <c r="K13" s="675"/>
      <c r="L13" s="676"/>
      <c r="M13" s="677"/>
      <c r="N13" s="672"/>
    </row>
    <row r="14" spans="1:14" ht="22.5">
      <c r="A14" s="678"/>
      <c r="B14" s="679" t="s">
        <v>119</v>
      </c>
      <c r="C14" s="652" t="s">
        <v>8</v>
      </c>
      <c r="D14" s="666">
        <v>282</v>
      </c>
      <c r="E14" s="667">
        <v>303</v>
      </c>
      <c r="F14" s="655">
        <f t="shared" si="0"/>
        <v>585</v>
      </c>
      <c r="G14" s="656">
        <f t="shared" si="1"/>
        <v>15.666666666666666</v>
      </c>
      <c r="H14" s="657">
        <f t="shared" si="1"/>
        <v>16.833333333333332</v>
      </c>
      <c r="I14" s="658">
        <f t="shared" si="2"/>
        <v>16.25</v>
      </c>
      <c r="J14" s="668"/>
      <c r="K14" s="669"/>
      <c r="L14" s="670"/>
      <c r="M14" s="671"/>
      <c r="N14" s="672"/>
    </row>
    <row r="15" spans="1:14" ht="22.5">
      <c r="A15" s="680"/>
      <c r="B15" s="679" t="s">
        <v>120</v>
      </c>
      <c r="C15" s="652" t="s">
        <v>8</v>
      </c>
      <c r="D15" s="666">
        <v>66</v>
      </c>
      <c r="E15" s="667">
        <v>0</v>
      </c>
      <c r="F15" s="655">
        <f t="shared" si="0"/>
        <v>66</v>
      </c>
      <c r="G15" s="656">
        <f t="shared" si="1"/>
        <v>3.6666666666666665</v>
      </c>
      <c r="H15" s="657">
        <f t="shared" si="1"/>
        <v>0</v>
      </c>
      <c r="I15" s="658">
        <f t="shared" si="2"/>
        <v>1.8333333333333333</v>
      </c>
      <c r="J15" s="668"/>
      <c r="K15" s="675"/>
      <c r="L15" s="676"/>
      <c r="M15" s="677"/>
      <c r="N15" s="672"/>
    </row>
    <row r="16" spans="1:14" ht="22.5">
      <c r="A16" s="678"/>
      <c r="B16" s="679" t="s">
        <v>121</v>
      </c>
      <c r="C16" s="652" t="s">
        <v>8</v>
      </c>
      <c r="D16" s="666">
        <v>3656</v>
      </c>
      <c r="E16" s="667">
        <v>2027</v>
      </c>
      <c r="F16" s="655">
        <f t="shared" si="0"/>
        <v>5683</v>
      </c>
      <c r="G16" s="656">
        <f t="shared" si="1"/>
        <v>203.11111111111111</v>
      </c>
      <c r="H16" s="657">
        <f t="shared" si="1"/>
        <v>112.61111111111111</v>
      </c>
      <c r="I16" s="658">
        <f t="shared" si="2"/>
        <v>157.86111111111111</v>
      </c>
      <c r="J16" s="668"/>
      <c r="K16" s="669"/>
      <c r="L16" s="670"/>
      <c r="M16" s="671"/>
      <c r="N16" s="672"/>
    </row>
    <row r="17" spans="1:14" ht="22.5">
      <c r="A17" s="680"/>
      <c r="B17" s="679" t="s">
        <v>122</v>
      </c>
      <c r="C17" s="652" t="s">
        <v>8</v>
      </c>
      <c r="D17" s="666">
        <v>888</v>
      </c>
      <c r="E17" s="667">
        <v>273</v>
      </c>
      <c r="F17" s="655">
        <f t="shared" si="0"/>
        <v>1161</v>
      </c>
      <c r="G17" s="656">
        <f t="shared" si="1"/>
        <v>49.333333333333336</v>
      </c>
      <c r="H17" s="657">
        <f t="shared" si="1"/>
        <v>15.166666666666666</v>
      </c>
      <c r="I17" s="658">
        <f t="shared" si="2"/>
        <v>32.25</v>
      </c>
      <c r="J17" s="668"/>
      <c r="K17" s="675"/>
      <c r="L17" s="676"/>
      <c r="M17" s="677"/>
      <c r="N17" s="672"/>
    </row>
    <row r="18" spans="1:14" ht="22.5">
      <c r="A18" s="680"/>
      <c r="B18" s="679" t="s">
        <v>123</v>
      </c>
      <c r="C18" s="652" t="s">
        <v>8</v>
      </c>
      <c r="D18" s="666">
        <v>993</v>
      </c>
      <c r="E18" s="667">
        <v>861</v>
      </c>
      <c r="F18" s="655">
        <f t="shared" si="0"/>
        <v>1854</v>
      </c>
      <c r="G18" s="656">
        <f t="shared" si="1"/>
        <v>55.166666666666664</v>
      </c>
      <c r="H18" s="657">
        <f t="shared" si="1"/>
        <v>47.833333333333336</v>
      </c>
      <c r="I18" s="658">
        <f t="shared" si="2"/>
        <v>51.5</v>
      </c>
      <c r="J18" s="668"/>
      <c r="K18" s="675"/>
      <c r="L18" s="676"/>
      <c r="M18" s="677"/>
      <c r="N18" s="672"/>
    </row>
    <row r="19" spans="1:14" ht="22.5">
      <c r="A19" s="680"/>
      <c r="B19" s="679" t="s">
        <v>124</v>
      </c>
      <c r="C19" s="652" t="s">
        <v>8</v>
      </c>
      <c r="D19" s="666">
        <v>943</v>
      </c>
      <c r="E19" s="667">
        <v>628</v>
      </c>
      <c r="F19" s="655">
        <f t="shared" si="0"/>
        <v>1571</v>
      </c>
      <c r="G19" s="656">
        <f t="shared" si="1"/>
        <v>52.388888888888886</v>
      </c>
      <c r="H19" s="657">
        <f t="shared" si="1"/>
        <v>34.888888888888886</v>
      </c>
      <c r="I19" s="658">
        <f t="shared" si="2"/>
        <v>43.638888888888886</v>
      </c>
      <c r="J19" s="668"/>
      <c r="K19" s="675"/>
      <c r="L19" s="676"/>
      <c r="M19" s="677"/>
      <c r="N19" s="672"/>
    </row>
    <row r="20" spans="1:14" ht="22.5">
      <c r="A20" s="680"/>
      <c r="B20" s="679" t="s">
        <v>125</v>
      </c>
      <c r="C20" s="652" t="s">
        <v>8</v>
      </c>
      <c r="D20" s="666">
        <v>0</v>
      </c>
      <c r="E20" s="667">
        <v>3</v>
      </c>
      <c r="F20" s="655">
        <f t="shared" si="0"/>
        <v>3</v>
      </c>
      <c r="G20" s="656">
        <f t="shared" si="1"/>
        <v>0</v>
      </c>
      <c r="H20" s="657">
        <f t="shared" si="1"/>
        <v>0.16666666666666666</v>
      </c>
      <c r="I20" s="658">
        <f>F20/36</f>
        <v>0.08333333333333333</v>
      </c>
      <c r="J20" s="668"/>
      <c r="K20" s="675"/>
      <c r="L20" s="676"/>
      <c r="M20" s="677"/>
      <c r="N20" s="672"/>
    </row>
    <row r="21" spans="1:14" ht="22.5">
      <c r="A21" s="680"/>
      <c r="B21" s="679" t="s">
        <v>126</v>
      </c>
      <c r="C21" s="652" t="s">
        <v>8</v>
      </c>
      <c r="D21" s="666">
        <v>114</v>
      </c>
      <c r="E21" s="667">
        <v>102</v>
      </c>
      <c r="F21" s="655">
        <f t="shared" si="0"/>
        <v>216</v>
      </c>
      <c r="G21" s="656">
        <f t="shared" si="1"/>
        <v>6.333333333333333</v>
      </c>
      <c r="H21" s="657">
        <f t="shared" si="1"/>
        <v>5.666666666666667</v>
      </c>
      <c r="I21" s="658">
        <f t="shared" si="2"/>
        <v>6</v>
      </c>
      <c r="J21" s="668"/>
      <c r="K21" s="675"/>
      <c r="L21" s="676"/>
      <c r="M21" s="677"/>
      <c r="N21" s="672"/>
    </row>
    <row r="22" spans="1:14" ht="22.5">
      <c r="A22" s="680"/>
      <c r="B22" s="679" t="s">
        <v>127</v>
      </c>
      <c r="C22" s="652" t="s">
        <v>8</v>
      </c>
      <c r="D22" s="666">
        <v>655</v>
      </c>
      <c r="E22" s="667">
        <v>553</v>
      </c>
      <c r="F22" s="655">
        <f t="shared" si="0"/>
        <v>1208</v>
      </c>
      <c r="G22" s="656">
        <f t="shared" si="1"/>
        <v>36.388888888888886</v>
      </c>
      <c r="H22" s="657">
        <f t="shared" si="1"/>
        <v>30.72222222222222</v>
      </c>
      <c r="I22" s="658">
        <f t="shared" si="2"/>
        <v>33.55555555555556</v>
      </c>
      <c r="J22" s="668"/>
      <c r="K22" s="675"/>
      <c r="L22" s="676"/>
      <c r="M22" s="677"/>
      <c r="N22" s="672"/>
    </row>
    <row r="23" spans="1:14" s="692" customFormat="1" ht="22.5">
      <c r="A23" s="855" t="s">
        <v>39</v>
      </c>
      <c r="B23" s="856"/>
      <c r="C23" s="681" t="s">
        <v>8</v>
      </c>
      <c r="D23" s="682">
        <f>SUM(D7:D22)</f>
        <v>12095</v>
      </c>
      <c r="E23" s="683">
        <f>SUM(E7:E22)</f>
        <v>8669</v>
      </c>
      <c r="F23" s="682">
        <f>SUM(F7:F22)</f>
        <v>20764</v>
      </c>
      <c r="G23" s="684">
        <f>SUM(D23/18)</f>
        <v>671.9444444444445</v>
      </c>
      <c r="H23" s="685">
        <f>SUM(E23/18)</f>
        <v>481.6111111111111</v>
      </c>
      <c r="I23" s="686">
        <f>SUM(F23/36)</f>
        <v>576.7777777777778</v>
      </c>
      <c r="J23" s="687">
        <v>50</v>
      </c>
      <c r="K23" s="688">
        <f>SUM(G23/J23)</f>
        <v>13.43888888888889</v>
      </c>
      <c r="L23" s="689">
        <f>SUM(H23/J23)</f>
        <v>9.632222222222222</v>
      </c>
      <c r="M23" s="690">
        <f>SUM(I23/J23)</f>
        <v>11.535555555555556</v>
      </c>
      <c r="N23" s="691" t="s">
        <v>36</v>
      </c>
    </row>
    <row r="24" spans="1:14" s="692" customFormat="1" ht="22.5">
      <c r="A24" s="740"/>
      <c r="B24" s="740"/>
      <c r="C24" s="741"/>
      <c r="D24" s="742"/>
      <c r="E24" s="742"/>
      <c r="F24" s="742"/>
      <c r="G24" s="743"/>
      <c r="H24" s="744"/>
      <c r="I24" s="744"/>
      <c r="J24" s="745"/>
      <c r="K24" s="746"/>
      <c r="L24" s="747"/>
      <c r="M24" s="748"/>
      <c r="N24" s="749"/>
    </row>
    <row r="25" spans="1:14" ht="22.5">
      <c r="A25" s="693" t="s">
        <v>128</v>
      </c>
      <c r="B25" s="694"/>
      <c r="C25" s="638"/>
      <c r="D25" s="639"/>
      <c r="E25" s="640"/>
      <c r="F25" s="641"/>
      <c r="G25" s="695"/>
      <c r="H25" s="696"/>
      <c r="I25" s="697"/>
      <c r="J25" s="645"/>
      <c r="K25" s="698"/>
      <c r="L25" s="699"/>
      <c r="M25" s="700"/>
      <c r="N25" s="649" t="s">
        <v>35</v>
      </c>
    </row>
    <row r="26" spans="1:14" ht="22.5">
      <c r="A26" s="650"/>
      <c r="B26" s="651" t="s">
        <v>129</v>
      </c>
      <c r="C26" s="652" t="s">
        <v>8</v>
      </c>
      <c r="D26" s="653">
        <v>1668</v>
      </c>
      <c r="E26" s="654">
        <v>1158</v>
      </c>
      <c r="F26" s="655">
        <f t="shared" si="0"/>
        <v>2826</v>
      </c>
      <c r="G26" s="656">
        <f>D26/18</f>
        <v>92.66666666666667</v>
      </c>
      <c r="H26" s="657">
        <f>E26/18</f>
        <v>64.33333333333333</v>
      </c>
      <c r="I26" s="658">
        <f>F26/36</f>
        <v>78.5</v>
      </c>
      <c r="J26" s="659"/>
      <c r="K26" s="660"/>
      <c r="L26" s="661"/>
      <c r="M26" s="662"/>
      <c r="N26" s="663"/>
    </row>
    <row r="27" spans="1:14" ht="22.5">
      <c r="A27" s="680"/>
      <c r="B27" s="679" t="s">
        <v>130</v>
      </c>
      <c r="C27" s="701" t="s">
        <v>8</v>
      </c>
      <c r="D27" s="666">
        <v>3666</v>
      </c>
      <c r="E27" s="667">
        <v>3156</v>
      </c>
      <c r="F27" s="702">
        <f t="shared" si="0"/>
        <v>6822</v>
      </c>
      <c r="G27" s="656">
        <f aca="true" t="shared" si="3" ref="G27:H40">D27/18</f>
        <v>203.66666666666666</v>
      </c>
      <c r="H27" s="657">
        <f t="shared" si="3"/>
        <v>175.33333333333334</v>
      </c>
      <c r="I27" s="658">
        <f aca="true" t="shared" si="4" ref="I27:I40">F27/36</f>
        <v>189.5</v>
      </c>
      <c r="J27" s="668"/>
      <c r="K27" s="675"/>
      <c r="L27" s="676"/>
      <c r="M27" s="677"/>
      <c r="N27" s="672"/>
    </row>
    <row r="28" spans="1:14" ht="22.5">
      <c r="A28" s="680"/>
      <c r="B28" s="679" t="s">
        <v>131</v>
      </c>
      <c r="C28" s="701" t="s">
        <v>8</v>
      </c>
      <c r="D28" s="666">
        <v>1241</v>
      </c>
      <c r="E28" s="667">
        <v>950</v>
      </c>
      <c r="F28" s="702">
        <f t="shared" si="0"/>
        <v>2191</v>
      </c>
      <c r="G28" s="656">
        <f t="shared" si="3"/>
        <v>68.94444444444444</v>
      </c>
      <c r="H28" s="657">
        <f t="shared" si="3"/>
        <v>52.77777777777778</v>
      </c>
      <c r="I28" s="658">
        <f t="shared" si="4"/>
        <v>60.861111111111114</v>
      </c>
      <c r="J28" s="668"/>
      <c r="K28" s="675"/>
      <c r="L28" s="676"/>
      <c r="M28" s="677"/>
      <c r="N28" s="672"/>
    </row>
    <row r="29" spans="1:14" ht="22.5">
      <c r="A29" s="680"/>
      <c r="B29" s="679" t="s">
        <v>132</v>
      </c>
      <c r="C29" s="701" t="s">
        <v>8</v>
      </c>
      <c r="D29" s="666">
        <v>6045</v>
      </c>
      <c r="E29" s="667">
        <v>6075</v>
      </c>
      <c r="F29" s="702">
        <f t="shared" si="0"/>
        <v>12120</v>
      </c>
      <c r="G29" s="656">
        <f t="shared" si="3"/>
        <v>335.8333333333333</v>
      </c>
      <c r="H29" s="657">
        <f t="shared" si="3"/>
        <v>337.5</v>
      </c>
      <c r="I29" s="658">
        <f t="shared" si="4"/>
        <v>336.6666666666667</v>
      </c>
      <c r="J29" s="668"/>
      <c r="K29" s="675"/>
      <c r="L29" s="676"/>
      <c r="M29" s="677"/>
      <c r="N29" s="672"/>
    </row>
    <row r="30" spans="1:14" ht="22.5">
      <c r="A30" s="680"/>
      <c r="B30" s="679" t="s">
        <v>133</v>
      </c>
      <c r="C30" s="701" t="s">
        <v>8</v>
      </c>
      <c r="D30" s="666">
        <v>1011</v>
      </c>
      <c r="E30" s="667">
        <v>240</v>
      </c>
      <c r="F30" s="702">
        <f t="shared" si="0"/>
        <v>1251</v>
      </c>
      <c r="G30" s="656">
        <f t="shared" si="3"/>
        <v>56.166666666666664</v>
      </c>
      <c r="H30" s="657">
        <f t="shared" si="3"/>
        <v>13.333333333333334</v>
      </c>
      <c r="I30" s="658">
        <f t="shared" si="4"/>
        <v>34.75</v>
      </c>
      <c r="J30" s="668"/>
      <c r="K30" s="675"/>
      <c r="L30" s="676"/>
      <c r="M30" s="677"/>
      <c r="N30" s="672"/>
    </row>
    <row r="31" spans="1:14" ht="22.5">
      <c r="A31" s="680"/>
      <c r="B31" s="679" t="s">
        <v>134</v>
      </c>
      <c r="C31" s="701" t="s">
        <v>8</v>
      </c>
      <c r="D31" s="666">
        <v>327</v>
      </c>
      <c r="E31" s="667">
        <v>69</v>
      </c>
      <c r="F31" s="702">
        <f t="shared" si="0"/>
        <v>396</v>
      </c>
      <c r="G31" s="656">
        <f t="shared" si="3"/>
        <v>18.166666666666668</v>
      </c>
      <c r="H31" s="657">
        <f t="shared" si="3"/>
        <v>3.8333333333333335</v>
      </c>
      <c r="I31" s="658">
        <f t="shared" si="4"/>
        <v>11</v>
      </c>
      <c r="J31" s="668"/>
      <c r="K31" s="675"/>
      <c r="L31" s="676"/>
      <c r="M31" s="677"/>
      <c r="N31" s="672"/>
    </row>
    <row r="32" spans="1:14" ht="22.5">
      <c r="A32" s="680"/>
      <c r="B32" s="679" t="s">
        <v>135</v>
      </c>
      <c r="C32" s="701" t="s">
        <v>8</v>
      </c>
      <c r="D32" s="666">
        <v>831</v>
      </c>
      <c r="E32" s="667">
        <v>759</v>
      </c>
      <c r="F32" s="702">
        <f t="shared" si="0"/>
        <v>1590</v>
      </c>
      <c r="G32" s="656">
        <f t="shared" si="3"/>
        <v>46.166666666666664</v>
      </c>
      <c r="H32" s="657">
        <f t="shared" si="3"/>
        <v>42.166666666666664</v>
      </c>
      <c r="I32" s="658">
        <f t="shared" si="4"/>
        <v>44.166666666666664</v>
      </c>
      <c r="J32" s="668"/>
      <c r="K32" s="675"/>
      <c r="L32" s="676"/>
      <c r="M32" s="677"/>
      <c r="N32" s="672"/>
    </row>
    <row r="33" spans="1:14" ht="22.5">
      <c r="A33" s="680"/>
      <c r="B33" s="679" t="s">
        <v>136</v>
      </c>
      <c r="C33" s="701" t="s">
        <v>8</v>
      </c>
      <c r="D33" s="666">
        <v>60</v>
      </c>
      <c r="E33" s="667">
        <v>258</v>
      </c>
      <c r="F33" s="702">
        <f t="shared" si="0"/>
        <v>318</v>
      </c>
      <c r="G33" s="656">
        <f t="shared" si="3"/>
        <v>3.3333333333333335</v>
      </c>
      <c r="H33" s="657">
        <f t="shared" si="3"/>
        <v>14.333333333333334</v>
      </c>
      <c r="I33" s="658">
        <f t="shared" si="4"/>
        <v>8.833333333333334</v>
      </c>
      <c r="J33" s="668"/>
      <c r="K33" s="675"/>
      <c r="L33" s="676"/>
      <c r="M33" s="677"/>
      <c r="N33" s="672"/>
    </row>
    <row r="34" spans="1:14" ht="22.5">
      <c r="A34" s="680"/>
      <c r="B34" s="679" t="s">
        <v>137</v>
      </c>
      <c r="C34" s="701" t="s">
        <v>8</v>
      </c>
      <c r="D34" s="666">
        <v>1914</v>
      </c>
      <c r="E34" s="667">
        <v>1656</v>
      </c>
      <c r="F34" s="702">
        <f t="shared" si="0"/>
        <v>3570</v>
      </c>
      <c r="G34" s="656">
        <f t="shared" si="3"/>
        <v>106.33333333333333</v>
      </c>
      <c r="H34" s="657">
        <f t="shared" si="3"/>
        <v>92</v>
      </c>
      <c r="I34" s="658">
        <f t="shared" si="4"/>
        <v>99.16666666666667</v>
      </c>
      <c r="J34" s="668"/>
      <c r="K34" s="675"/>
      <c r="L34" s="676"/>
      <c r="M34" s="677"/>
      <c r="N34" s="672"/>
    </row>
    <row r="35" spans="1:14" ht="22.5">
      <c r="A35" s="680"/>
      <c r="B35" s="679" t="s">
        <v>138</v>
      </c>
      <c r="C35" s="701" t="s">
        <v>8</v>
      </c>
      <c r="D35" s="666">
        <v>369</v>
      </c>
      <c r="E35" s="667">
        <v>1029</v>
      </c>
      <c r="F35" s="702">
        <f t="shared" si="0"/>
        <v>1398</v>
      </c>
      <c r="G35" s="656">
        <f t="shared" si="3"/>
        <v>20.5</v>
      </c>
      <c r="H35" s="657">
        <f t="shared" si="3"/>
        <v>57.166666666666664</v>
      </c>
      <c r="I35" s="658">
        <f t="shared" si="4"/>
        <v>38.833333333333336</v>
      </c>
      <c r="J35" s="668"/>
      <c r="K35" s="675"/>
      <c r="L35" s="676"/>
      <c r="M35" s="677"/>
      <c r="N35" s="672"/>
    </row>
    <row r="36" spans="1:14" ht="22.5">
      <c r="A36" s="680"/>
      <c r="B36" s="679" t="s">
        <v>139</v>
      </c>
      <c r="C36" s="701" t="s">
        <v>8</v>
      </c>
      <c r="D36" s="666">
        <v>525</v>
      </c>
      <c r="E36" s="667">
        <v>297</v>
      </c>
      <c r="F36" s="702">
        <f t="shared" si="0"/>
        <v>822</v>
      </c>
      <c r="G36" s="656">
        <f t="shared" si="3"/>
        <v>29.166666666666668</v>
      </c>
      <c r="H36" s="657">
        <f t="shared" si="3"/>
        <v>16.5</v>
      </c>
      <c r="I36" s="658">
        <f t="shared" si="4"/>
        <v>22.833333333333332</v>
      </c>
      <c r="J36" s="668"/>
      <c r="K36" s="675"/>
      <c r="L36" s="676"/>
      <c r="M36" s="677"/>
      <c r="N36" s="672"/>
    </row>
    <row r="37" spans="1:14" ht="22.5">
      <c r="A37" s="680"/>
      <c r="B37" s="679" t="s">
        <v>140</v>
      </c>
      <c r="C37" s="701" t="s">
        <v>8</v>
      </c>
      <c r="D37" s="666">
        <v>66</v>
      </c>
      <c r="E37" s="667">
        <v>0</v>
      </c>
      <c r="F37" s="702">
        <f t="shared" si="0"/>
        <v>66</v>
      </c>
      <c r="G37" s="656">
        <f t="shared" si="3"/>
        <v>3.6666666666666665</v>
      </c>
      <c r="H37" s="657">
        <f t="shared" si="3"/>
        <v>0</v>
      </c>
      <c r="I37" s="658">
        <f t="shared" si="4"/>
        <v>1.8333333333333333</v>
      </c>
      <c r="J37" s="668"/>
      <c r="K37" s="675"/>
      <c r="L37" s="676"/>
      <c r="M37" s="677"/>
      <c r="N37" s="672"/>
    </row>
    <row r="38" spans="1:14" ht="22.5">
      <c r="A38" s="680"/>
      <c r="B38" s="679" t="s">
        <v>141</v>
      </c>
      <c r="C38" s="701" t="s">
        <v>8</v>
      </c>
      <c r="D38" s="666">
        <v>930</v>
      </c>
      <c r="E38" s="667">
        <v>953</v>
      </c>
      <c r="F38" s="702">
        <f t="shared" si="0"/>
        <v>1883</v>
      </c>
      <c r="G38" s="656">
        <f t="shared" si="3"/>
        <v>51.666666666666664</v>
      </c>
      <c r="H38" s="657">
        <f t="shared" si="3"/>
        <v>52.94444444444444</v>
      </c>
      <c r="I38" s="658">
        <f t="shared" si="4"/>
        <v>52.30555555555556</v>
      </c>
      <c r="J38" s="668"/>
      <c r="K38" s="675"/>
      <c r="L38" s="676"/>
      <c r="M38" s="677"/>
      <c r="N38" s="672"/>
    </row>
    <row r="39" spans="1:14" ht="22.5">
      <c r="A39" s="680"/>
      <c r="B39" s="679" t="s">
        <v>142</v>
      </c>
      <c r="C39" s="701" t="s">
        <v>8</v>
      </c>
      <c r="D39" s="666">
        <v>78</v>
      </c>
      <c r="E39" s="667">
        <v>0</v>
      </c>
      <c r="F39" s="666">
        <f t="shared" si="0"/>
        <v>78</v>
      </c>
      <c r="G39" s="656">
        <f t="shared" si="3"/>
        <v>4.333333333333333</v>
      </c>
      <c r="H39" s="657">
        <f t="shared" si="3"/>
        <v>0</v>
      </c>
      <c r="I39" s="658">
        <f t="shared" si="4"/>
        <v>2.1666666666666665</v>
      </c>
      <c r="J39" s="668"/>
      <c r="K39" s="675"/>
      <c r="L39" s="676"/>
      <c r="M39" s="677"/>
      <c r="N39" s="672"/>
    </row>
    <row r="40" spans="1:14" ht="22.5">
      <c r="A40" s="703"/>
      <c r="B40" s="704" t="s">
        <v>143</v>
      </c>
      <c r="C40" s="705" t="s">
        <v>8</v>
      </c>
      <c r="D40" s="706">
        <v>2144</v>
      </c>
      <c r="E40" s="707">
        <v>2238</v>
      </c>
      <c r="F40" s="706">
        <f t="shared" si="0"/>
        <v>4382</v>
      </c>
      <c r="G40" s="656">
        <f t="shared" si="3"/>
        <v>119.11111111111111</v>
      </c>
      <c r="H40" s="657">
        <f t="shared" si="3"/>
        <v>124.33333333333333</v>
      </c>
      <c r="I40" s="658">
        <f t="shared" si="4"/>
        <v>121.72222222222223</v>
      </c>
      <c r="J40" s="708"/>
      <c r="K40" s="709"/>
      <c r="L40" s="710"/>
      <c r="M40" s="711"/>
      <c r="N40" s="712"/>
    </row>
    <row r="41" spans="1:14" s="692" customFormat="1" ht="22.5">
      <c r="A41" s="855" t="s">
        <v>39</v>
      </c>
      <c r="B41" s="856"/>
      <c r="C41" s="681" t="s">
        <v>8</v>
      </c>
      <c r="D41" s="682">
        <f>SUM(D26:D40)</f>
        <v>20875</v>
      </c>
      <c r="E41" s="683">
        <f>SUM(E26:E40)</f>
        <v>18838</v>
      </c>
      <c r="F41" s="682">
        <f>SUM(D41:E41)</f>
        <v>39713</v>
      </c>
      <c r="G41" s="684">
        <f>SUM(D41/18)</f>
        <v>1159.7222222222222</v>
      </c>
      <c r="H41" s="780">
        <f>SUM(E41/18)</f>
        <v>1046.5555555555557</v>
      </c>
      <c r="I41" s="686">
        <f>SUM(F41/36)</f>
        <v>1103.138888888889</v>
      </c>
      <c r="J41" s="687">
        <v>45</v>
      </c>
      <c r="K41" s="688">
        <f>SUM(G41/J41)</f>
        <v>25.771604938271604</v>
      </c>
      <c r="L41" s="689">
        <f>SUM(H41/J41)</f>
        <v>23.256790123456792</v>
      </c>
      <c r="M41" s="690">
        <f>SUM(I41/J41)</f>
        <v>24.514197530864198</v>
      </c>
      <c r="N41" s="691" t="s">
        <v>35</v>
      </c>
    </row>
    <row r="42" spans="1:14" s="692" customFormat="1" ht="22.5" customHeight="1">
      <c r="A42" s="713"/>
      <c r="B42" s="714"/>
      <c r="C42" s="715"/>
      <c r="D42" s="716"/>
      <c r="E42" s="716"/>
      <c r="F42" s="716"/>
      <c r="G42" s="717"/>
      <c r="H42" s="717"/>
      <c r="I42" s="717"/>
      <c r="J42" s="718"/>
      <c r="K42" s="719"/>
      <c r="L42" s="720"/>
      <c r="M42" s="720"/>
      <c r="N42" s="721"/>
    </row>
    <row r="43" spans="1:12" ht="24.75">
      <c r="A43" s="722" t="s">
        <v>144</v>
      </c>
      <c r="B43" s="723"/>
      <c r="C43" s="724" t="s">
        <v>145</v>
      </c>
      <c r="D43" s="724"/>
      <c r="E43" s="724"/>
      <c r="F43" s="724"/>
      <c r="G43" s="725"/>
      <c r="H43" s="725"/>
      <c r="I43" s="725"/>
      <c r="J43" s="725"/>
      <c r="K43" s="725"/>
      <c r="L43" s="725"/>
    </row>
    <row r="44" spans="1:12" ht="24.75">
      <c r="A44" s="727"/>
      <c r="B44" s="728"/>
      <c r="C44" s="725" t="s">
        <v>146</v>
      </c>
      <c r="D44" s="725"/>
      <c r="E44" s="725"/>
      <c r="F44" s="725"/>
      <c r="G44" s="725"/>
      <c r="H44" s="725"/>
      <c r="I44" s="725"/>
      <c r="J44" s="725"/>
      <c r="K44" s="725"/>
      <c r="L44" s="725"/>
    </row>
    <row r="45" spans="1:3" ht="24.75">
      <c r="A45" s="729"/>
      <c r="B45" s="730"/>
      <c r="C45" s="725" t="s">
        <v>147</v>
      </c>
    </row>
    <row r="46" spans="1:3" ht="24.75">
      <c r="A46" s="727"/>
      <c r="B46" s="728"/>
      <c r="C46" s="725" t="s">
        <v>154</v>
      </c>
    </row>
    <row r="47" spans="1:2" ht="24.75">
      <c r="A47" s="727"/>
      <c r="B47" s="728"/>
    </row>
  </sheetData>
  <sheetProtection/>
  <mergeCells count="11">
    <mergeCell ref="A1:N1"/>
    <mergeCell ref="A2:N2"/>
    <mergeCell ref="A3:B5"/>
    <mergeCell ref="C3:C5"/>
    <mergeCell ref="D3:F4"/>
    <mergeCell ref="G3:I3"/>
    <mergeCell ref="J3:J5"/>
    <mergeCell ref="K3:M4"/>
    <mergeCell ref="G4:I4"/>
    <mergeCell ref="A23:B23"/>
    <mergeCell ref="A41:B41"/>
  </mergeCells>
  <printOptions/>
  <pageMargins left="0.95" right="0.09" top="0.41" bottom="0.31" header="0.36" footer="0.17"/>
  <pageSetup horizontalDpi="300" verticalDpi="300" orientation="landscape" paperSize="9" r:id="rId1"/>
  <headerFooter alignWithMargins="0">
    <oddFooter>&amp;Cหน้าที่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110" zoomScaleNormal="75" zoomScaleSheetLayoutView="11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21.75"/>
  <cols>
    <col min="1" max="1" width="5.140625" style="731" customWidth="1"/>
    <col min="2" max="2" width="19.7109375" style="732" customWidth="1"/>
    <col min="3" max="3" width="11.57421875" style="726" customWidth="1"/>
    <col min="4" max="4" width="9.57421875" style="726" bestFit="1" customWidth="1"/>
    <col min="5" max="6" width="9.28125" style="726" bestFit="1" customWidth="1"/>
    <col min="7" max="7" width="10.28125" style="726" customWidth="1"/>
    <col min="8" max="8" width="10.8515625" style="726" customWidth="1"/>
    <col min="9" max="9" width="11.421875" style="726" customWidth="1"/>
    <col min="10" max="10" width="9.140625" style="726" customWidth="1"/>
    <col min="11" max="11" width="7.57421875" style="726" bestFit="1" customWidth="1"/>
    <col min="12" max="12" width="8.00390625" style="726" bestFit="1" customWidth="1"/>
    <col min="13" max="13" width="8.00390625" style="726" customWidth="1"/>
    <col min="14" max="14" width="10.8515625" style="726" bestFit="1" customWidth="1"/>
    <col min="15" max="16384" width="9.140625" style="628" customWidth="1"/>
  </cols>
  <sheetData>
    <row r="1" spans="1:14" ht="26.25" customHeight="1">
      <c r="A1" s="857" t="s">
        <v>148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</row>
    <row r="2" spans="1:14" ht="23.25">
      <c r="A2" s="857" t="s">
        <v>105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</row>
    <row r="3" spans="1:14" ht="21.75" customHeight="1">
      <c r="A3" s="858" t="s">
        <v>106</v>
      </c>
      <c r="B3" s="859"/>
      <c r="C3" s="864" t="s">
        <v>107</v>
      </c>
      <c r="D3" s="867" t="s">
        <v>108</v>
      </c>
      <c r="E3" s="847"/>
      <c r="F3" s="868"/>
      <c r="G3" s="840" t="s">
        <v>73</v>
      </c>
      <c r="H3" s="841"/>
      <c r="I3" s="842"/>
      <c r="J3" s="843" t="s">
        <v>109</v>
      </c>
      <c r="K3" s="846" t="s">
        <v>41</v>
      </c>
      <c r="L3" s="847"/>
      <c r="M3" s="848"/>
      <c r="N3" s="629" t="s">
        <v>81</v>
      </c>
    </row>
    <row r="4" spans="1:14" ht="22.5" customHeight="1">
      <c r="A4" s="860"/>
      <c r="B4" s="861"/>
      <c r="C4" s="865"/>
      <c r="D4" s="869"/>
      <c r="E4" s="850"/>
      <c r="F4" s="870"/>
      <c r="G4" s="852" t="s">
        <v>7</v>
      </c>
      <c r="H4" s="853"/>
      <c r="I4" s="854"/>
      <c r="J4" s="844"/>
      <c r="K4" s="849"/>
      <c r="L4" s="850"/>
      <c r="M4" s="851"/>
      <c r="N4" s="630" t="s">
        <v>110</v>
      </c>
    </row>
    <row r="5" spans="1:14" ht="22.5">
      <c r="A5" s="862"/>
      <c r="B5" s="863"/>
      <c r="C5" s="866"/>
      <c r="D5" s="631" t="s">
        <v>17</v>
      </c>
      <c r="E5" s="632" t="s">
        <v>18</v>
      </c>
      <c r="F5" s="633" t="s">
        <v>39</v>
      </c>
      <c r="G5" s="631" t="s">
        <v>17</v>
      </c>
      <c r="H5" s="632" t="s">
        <v>18</v>
      </c>
      <c r="I5" s="634" t="s">
        <v>39</v>
      </c>
      <c r="J5" s="845"/>
      <c r="K5" s="631" t="s">
        <v>17</v>
      </c>
      <c r="L5" s="632" t="s">
        <v>18</v>
      </c>
      <c r="M5" s="634" t="s">
        <v>39</v>
      </c>
      <c r="N5" s="635" t="s">
        <v>34</v>
      </c>
    </row>
    <row r="6" spans="1:14" ht="22.5">
      <c r="A6" s="636" t="s">
        <v>111</v>
      </c>
      <c r="B6" s="637"/>
      <c r="C6" s="638" t="s">
        <v>8</v>
      </c>
      <c r="D6" s="639"/>
      <c r="E6" s="640"/>
      <c r="F6" s="641"/>
      <c r="G6" s="642"/>
      <c r="H6" s="643"/>
      <c r="I6" s="644"/>
      <c r="J6" s="645"/>
      <c r="K6" s="646"/>
      <c r="L6" s="647"/>
      <c r="M6" s="648"/>
      <c r="N6" s="649" t="s">
        <v>36</v>
      </c>
    </row>
    <row r="7" spans="1:14" ht="22.5">
      <c r="A7" s="650"/>
      <c r="B7" s="651" t="s">
        <v>112</v>
      </c>
      <c r="C7" s="652" t="s">
        <v>8</v>
      </c>
      <c r="D7" s="653">
        <v>27</v>
      </c>
      <c r="E7" s="654">
        <v>108</v>
      </c>
      <c r="F7" s="655">
        <f>SUM(D7:E7)</f>
        <v>135</v>
      </c>
      <c r="G7" s="656">
        <f>D7/18</f>
        <v>1.5</v>
      </c>
      <c r="H7" s="657">
        <f>E7/18</f>
        <v>6</v>
      </c>
      <c r="I7" s="658">
        <f>F7/36</f>
        <v>3.75</v>
      </c>
      <c r="J7" s="659"/>
      <c r="K7" s="660"/>
      <c r="L7" s="661"/>
      <c r="M7" s="662"/>
      <c r="N7" s="663"/>
    </row>
    <row r="8" spans="1:14" ht="22.5">
      <c r="A8" s="664"/>
      <c r="B8" s="733" t="s">
        <v>113</v>
      </c>
      <c r="C8" s="652" t="s">
        <v>8</v>
      </c>
      <c r="D8" s="666">
        <v>30</v>
      </c>
      <c r="E8" s="667">
        <v>141</v>
      </c>
      <c r="F8" s="655">
        <f aca="true" t="shared" si="0" ref="F8:F19">SUM(D8:E8)</f>
        <v>171</v>
      </c>
      <c r="G8" s="656">
        <f aca="true" t="shared" si="1" ref="G8:H19">D8/18</f>
        <v>1.6666666666666667</v>
      </c>
      <c r="H8" s="657">
        <f t="shared" si="1"/>
        <v>7.833333333333333</v>
      </c>
      <c r="I8" s="658">
        <f aca="true" t="shared" si="2" ref="I8:I19">F8/36</f>
        <v>4.75</v>
      </c>
      <c r="J8" s="668"/>
      <c r="K8" s="669"/>
      <c r="L8" s="670"/>
      <c r="M8" s="671"/>
      <c r="N8" s="672"/>
    </row>
    <row r="9" spans="1:14" ht="22.5">
      <c r="A9" s="673"/>
      <c r="B9" s="679" t="s">
        <v>114</v>
      </c>
      <c r="C9" s="652" t="s">
        <v>8</v>
      </c>
      <c r="D9" s="666">
        <v>93</v>
      </c>
      <c r="E9" s="667">
        <v>69</v>
      </c>
      <c r="F9" s="655">
        <f t="shared" si="0"/>
        <v>162</v>
      </c>
      <c r="G9" s="656">
        <f t="shared" si="1"/>
        <v>5.166666666666667</v>
      </c>
      <c r="H9" s="657">
        <f t="shared" si="1"/>
        <v>3.8333333333333335</v>
      </c>
      <c r="I9" s="658">
        <f t="shared" si="2"/>
        <v>4.5</v>
      </c>
      <c r="J9" s="668"/>
      <c r="K9" s="675"/>
      <c r="L9" s="676"/>
      <c r="M9" s="677"/>
      <c r="N9" s="672"/>
    </row>
    <row r="10" spans="1:14" ht="22.5">
      <c r="A10" s="678"/>
      <c r="B10" s="679" t="s">
        <v>115</v>
      </c>
      <c r="C10" s="652" t="s">
        <v>8</v>
      </c>
      <c r="D10" s="666">
        <v>339</v>
      </c>
      <c r="E10" s="667">
        <v>180</v>
      </c>
      <c r="F10" s="655">
        <f t="shared" si="0"/>
        <v>519</v>
      </c>
      <c r="G10" s="656">
        <f t="shared" si="1"/>
        <v>18.833333333333332</v>
      </c>
      <c r="H10" s="657">
        <f t="shared" si="1"/>
        <v>10</v>
      </c>
      <c r="I10" s="658">
        <f t="shared" si="2"/>
        <v>14.416666666666666</v>
      </c>
      <c r="J10" s="668"/>
      <c r="K10" s="669"/>
      <c r="L10" s="670"/>
      <c r="M10" s="671"/>
      <c r="N10" s="672"/>
    </row>
    <row r="11" spans="1:14" ht="22.5">
      <c r="A11" s="680"/>
      <c r="B11" s="679" t="s">
        <v>116</v>
      </c>
      <c r="C11" s="652" t="s">
        <v>8</v>
      </c>
      <c r="D11" s="666">
        <v>246</v>
      </c>
      <c r="E11" s="667">
        <v>207</v>
      </c>
      <c r="F11" s="655">
        <f t="shared" si="0"/>
        <v>453</v>
      </c>
      <c r="G11" s="656">
        <f t="shared" si="1"/>
        <v>13.666666666666666</v>
      </c>
      <c r="H11" s="657">
        <f t="shared" si="1"/>
        <v>11.5</v>
      </c>
      <c r="I11" s="658">
        <f t="shared" si="2"/>
        <v>12.583333333333334</v>
      </c>
      <c r="J11" s="668"/>
      <c r="K11" s="675"/>
      <c r="L11" s="676"/>
      <c r="M11" s="677"/>
      <c r="N11" s="672"/>
    </row>
    <row r="12" spans="1:14" ht="22.5">
      <c r="A12" s="678"/>
      <c r="B12" s="679" t="s">
        <v>117</v>
      </c>
      <c r="C12" s="652" t="s">
        <v>8</v>
      </c>
      <c r="D12" s="666">
        <v>141</v>
      </c>
      <c r="E12" s="667"/>
      <c r="F12" s="655">
        <f t="shared" si="0"/>
        <v>141</v>
      </c>
      <c r="G12" s="656">
        <f t="shared" si="1"/>
        <v>7.833333333333333</v>
      </c>
      <c r="H12" s="657">
        <f t="shared" si="1"/>
        <v>0</v>
      </c>
      <c r="I12" s="658">
        <f t="shared" si="2"/>
        <v>3.9166666666666665</v>
      </c>
      <c r="J12" s="668"/>
      <c r="K12" s="669"/>
      <c r="L12" s="670"/>
      <c r="M12" s="671"/>
      <c r="N12" s="672"/>
    </row>
    <row r="13" spans="1:14" ht="22.5">
      <c r="A13" s="678"/>
      <c r="B13" s="679" t="s">
        <v>119</v>
      </c>
      <c r="C13" s="652" t="s">
        <v>8</v>
      </c>
      <c r="D13" s="666"/>
      <c r="E13" s="667">
        <v>27</v>
      </c>
      <c r="F13" s="655">
        <f t="shared" si="0"/>
        <v>27</v>
      </c>
      <c r="G13" s="656">
        <f t="shared" si="1"/>
        <v>0</v>
      </c>
      <c r="H13" s="657">
        <f t="shared" si="1"/>
        <v>1.5</v>
      </c>
      <c r="I13" s="658">
        <f t="shared" si="2"/>
        <v>0.75</v>
      </c>
      <c r="J13" s="668"/>
      <c r="K13" s="669"/>
      <c r="L13" s="670"/>
      <c r="M13" s="671"/>
      <c r="N13" s="672"/>
    </row>
    <row r="14" spans="1:14" ht="22.5">
      <c r="A14" s="680"/>
      <c r="B14" s="679" t="s">
        <v>149</v>
      </c>
      <c r="C14" s="652" t="s">
        <v>8</v>
      </c>
      <c r="D14" s="666">
        <v>96</v>
      </c>
      <c r="E14" s="667">
        <v>174</v>
      </c>
      <c r="F14" s="655">
        <f t="shared" si="0"/>
        <v>270</v>
      </c>
      <c r="G14" s="656">
        <f t="shared" si="1"/>
        <v>5.333333333333333</v>
      </c>
      <c r="H14" s="657">
        <f t="shared" si="1"/>
        <v>9.666666666666666</v>
      </c>
      <c r="I14" s="658">
        <f t="shared" si="2"/>
        <v>7.5</v>
      </c>
      <c r="J14" s="668"/>
      <c r="K14" s="675"/>
      <c r="L14" s="676"/>
      <c r="M14" s="677"/>
      <c r="N14" s="672"/>
    </row>
    <row r="15" spans="1:14" ht="22.5">
      <c r="A15" s="678"/>
      <c r="B15" s="679" t="s">
        <v>150</v>
      </c>
      <c r="C15" s="652" t="s">
        <v>8</v>
      </c>
      <c r="D15" s="666">
        <v>174</v>
      </c>
      <c r="E15" s="667">
        <v>420</v>
      </c>
      <c r="F15" s="655">
        <f t="shared" si="0"/>
        <v>594</v>
      </c>
      <c r="G15" s="656">
        <f t="shared" si="1"/>
        <v>9.666666666666666</v>
      </c>
      <c r="H15" s="657">
        <f t="shared" si="1"/>
        <v>23.333333333333332</v>
      </c>
      <c r="I15" s="658">
        <f t="shared" si="2"/>
        <v>16.5</v>
      </c>
      <c r="J15" s="668"/>
      <c r="K15" s="669"/>
      <c r="L15" s="670"/>
      <c r="M15" s="671"/>
      <c r="N15" s="672"/>
    </row>
    <row r="16" spans="1:14" ht="22.5">
      <c r="A16" s="680"/>
      <c r="B16" s="679" t="s">
        <v>122</v>
      </c>
      <c r="C16" s="652" t="s">
        <v>8</v>
      </c>
      <c r="D16" s="666">
        <v>228</v>
      </c>
      <c r="E16" s="667"/>
      <c r="F16" s="655">
        <f t="shared" si="0"/>
        <v>228</v>
      </c>
      <c r="G16" s="656">
        <f t="shared" si="1"/>
        <v>12.666666666666666</v>
      </c>
      <c r="H16" s="657">
        <f t="shared" si="1"/>
        <v>0</v>
      </c>
      <c r="I16" s="658">
        <f t="shared" si="2"/>
        <v>6.333333333333333</v>
      </c>
      <c r="J16" s="668"/>
      <c r="K16" s="675"/>
      <c r="L16" s="676"/>
      <c r="M16" s="677"/>
      <c r="N16" s="672"/>
    </row>
    <row r="17" spans="1:14" ht="22.5">
      <c r="A17" s="680"/>
      <c r="B17" s="679" t="s">
        <v>124</v>
      </c>
      <c r="C17" s="652" t="s">
        <v>8</v>
      </c>
      <c r="D17" s="666">
        <v>350</v>
      </c>
      <c r="E17" s="667">
        <v>358</v>
      </c>
      <c r="F17" s="655">
        <f t="shared" si="0"/>
        <v>708</v>
      </c>
      <c r="G17" s="656">
        <f t="shared" si="1"/>
        <v>19.444444444444443</v>
      </c>
      <c r="H17" s="657">
        <f t="shared" si="1"/>
        <v>19.88888888888889</v>
      </c>
      <c r="I17" s="658">
        <f t="shared" si="2"/>
        <v>19.666666666666668</v>
      </c>
      <c r="J17" s="668"/>
      <c r="K17" s="675"/>
      <c r="L17" s="676"/>
      <c r="M17" s="677"/>
      <c r="N17" s="672"/>
    </row>
    <row r="18" spans="1:14" ht="22.5">
      <c r="A18" s="680"/>
      <c r="B18" s="679" t="s">
        <v>151</v>
      </c>
      <c r="C18" s="652" t="s">
        <v>8</v>
      </c>
      <c r="D18" s="666">
        <v>341</v>
      </c>
      <c r="E18" s="667">
        <v>102</v>
      </c>
      <c r="F18" s="655">
        <f t="shared" si="0"/>
        <v>443</v>
      </c>
      <c r="G18" s="656">
        <f t="shared" si="1"/>
        <v>18.944444444444443</v>
      </c>
      <c r="H18" s="657">
        <f t="shared" si="1"/>
        <v>5.666666666666667</v>
      </c>
      <c r="I18" s="658">
        <f>F18/36</f>
        <v>12.305555555555555</v>
      </c>
      <c r="J18" s="668"/>
      <c r="K18" s="675"/>
      <c r="L18" s="676"/>
      <c r="M18" s="677"/>
      <c r="N18" s="672"/>
    </row>
    <row r="19" spans="1:14" ht="22.5">
      <c r="A19" s="680"/>
      <c r="B19" s="679" t="s">
        <v>125</v>
      </c>
      <c r="C19" s="652" t="s">
        <v>8</v>
      </c>
      <c r="D19" s="666">
        <v>435</v>
      </c>
      <c r="E19" s="667">
        <v>741</v>
      </c>
      <c r="F19" s="655">
        <f t="shared" si="0"/>
        <v>1176</v>
      </c>
      <c r="G19" s="656">
        <f t="shared" si="1"/>
        <v>24.166666666666668</v>
      </c>
      <c r="H19" s="657">
        <f t="shared" si="1"/>
        <v>41.166666666666664</v>
      </c>
      <c r="I19" s="658">
        <f t="shared" si="2"/>
        <v>32.666666666666664</v>
      </c>
      <c r="J19" s="668"/>
      <c r="K19" s="675"/>
      <c r="L19" s="676"/>
      <c r="M19" s="677"/>
      <c r="N19" s="672"/>
    </row>
    <row r="20" spans="1:14" s="692" customFormat="1" ht="22.5">
      <c r="A20" s="855" t="s">
        <v>39</v>
      </c>
      <c r="B20" s="856"/>
      <c r="C20" s="681" t="s">
        <v>8</v>
      </c>
      <c r="D20" s="682">
        <f>SUM(D7:D19)</f>
        <v>2500</v>
      </c>
      <c r="E20" s="683">
        <f>SUM(E7:E19)</f>
        <v>2527</v>
      </c>
      <c r="F20" s="682">
        <f>SUM(F7:F19)</f>
        <v>5027</v>
      </c>
      <c r="G20" s="684">
        <f>SUM(D20/18)</f>
        <v>138.88888888888889</v>
      </c>
      <c r="H20" s="685">
        <f>SUM(E20/18)</f>
        <v>140.38888888888889</v>
      </c>
      <c r="I20" s="686">
        <f>SUM(F20/36)</f>
        <v>139.63888888888889</v>
      </c>
      <c r="J20" s="687">
        <v>14</v>
      </c>
      <c r="K20" s="688">
        <f>SUM(G20/J20)</f>
        <v>9.920634920634921</v>
      </c>
      <c r="L20" s="689">
        <f>SUM(H20/J20)</f>
        <v>10.027777777777777</v>
      </c>
      <c r="M20" s="690">
        <f>SUM(I20/J20)</f>
        <v>9.97420634920635</v>
      </c>
      <c r="N20" s="691" t="s">
        <v>36</v>
      </c>
    </row>
    <row r="21" spans="1:14" s="692" customFormat="1" ht="22.5">
      <c r="A21" s="713"/>
      <c r="B21" s="713"/>
      <c r="C21" s="734"/>
      <c r="D21" s="716"/>
      <c r="E21" s="716"/>
      <c r="F21" s="716"/>
      <c r="G21" s="735"/>
      <c r="H21" s="736"/>
      <c r="I21" s="736"/>
      <c r="J21" s="737"/>
      <c r="K21" s="719"/>
      <c r="L21" s="738"/>
      <c r="M21" s="739"/>
      <c r="N21" s="721"/>
    </row>
    <row r="22" spans="1:14" s="692" customFormat="1" ht="22.5">
      <c r="A22" s="713"/>
      <c r="B22" s="713"/>
      <c r="C22" s="734"/>
      <c r="D22" s="716"/>
      <c r="E22" s="716"/>
      <c r="F22" s="716"/>
      <c r="G22" s="735"/>
      <c r="H22" s="736"/>
      <c r="I22" s="736"/>
      <c r="J22" s="737"/>
      <c r="K22" s="719"/>
      <c r="L22" s="738"/>
      <c r="M22" s="739"/>
      <c r="N22" s="721"/>
    </row>
    <row r="23" spans="1:14" s="692" customFormat="1" ht="22.5">
      <c r="A23" s="713"/>
      <c r="B23" s="713"/>
      <c r="C23" s="734"/>
      <c r="D23" s="716"/>
      <c r="E23" s="716"/>
      <c r="F23" s="716"/>
      <c r="G23" s="735"/>
      <c r="H23" s="736"/>
      <c r="I23" s="736"/>
      <c r="J23" s="737"/>
      <c r="K23" s="719"/>
      <c r="L23" s="738"/>
      <c r="M23" s="739"/>
      <c r="N23" s="721"/>
    </row>
    <row r="24" spans="1:14" ht="22.5">
      <c r="A24" s="693" t="s">
        <v>128</v>
      </c>
      <c r="B24" s="694"/>
      <c r="C24" s="638"/>
      <c r="D24" s="639"/>
      <c r="E24" s="640"/>
      <c r="F24" s="641"/>
      <c r="G24" s="695"/>
      <c r="H24" s="696"/>
      <c r="I24" s="697"/>
      <c r="J24" s="645"/>
      <c r="K24" s="698"/>
      <c r="L24" s="699"/>
      <c r="M24" s="700"/>
      <c r="N24" s="649" t="s">
        <v>35</v>
      </c>
    </row>
    <row r="25" spans="1:14" ht="22.5">
      <c r="A25" s="650"/>
      <c r="B25" s="651" t="s">
        <v>129</v>
      </c>
      <c r="C25" s="652" t="s">
        <v>8</v>
      </c>
      <c r="D25" s="653"/>
      <c r="E25" s="654">
        <v>369</v>
      </c>
      <c r="F25" s="655">
        <f aca="true" t="shared" si="3" ref="F25:F37">SUM(D25:E25)</f>
        <v>369</v>
      </c>
      <c r="G25" s="656">
        <f>D25/18</f>
        <v>0</v>
      </c>
      <c r="H25" s="657">
        <f>E25/18</f>
        <v>20.5</v>
      </c>
      <c r="I25" s="658">
        <f>F25/36</f>
        <v>10.25</v>
      </c>
      <c r="J25" s="659"/>
      <c r="K25" s="660"/>
      <c r="L25" s="661"/>
      <c r="M25" s="662"/>
      <c r="N25" s="663"/>
    </row>
    <row r="26" spans="1:14" ht="22.5">
      <c r="A26" s="680"/>
      <c r="B26" s="679" t="s">
        <v>130</v>
      </c>
      <c r="C26" s="701" t="s">
        <v>8</v>
      </c>
      <c r="D26" s="666">
        <v>1722</v>
      </c>
      <c r="E26" s="667">
        <v>1443</v>
      </c>
      <c r="F26" s="702">
        <f t="shared" si="3"/>
        <v>3165</v>
      </c>
      <c r="G26" s="656">
        <f aca="true" t="shared" si="4" ref="G26:H37">D26/18</f>
        <v>95.66666666666667</v>
      </c>
      <c r="H26" s="657">
        <f t="shared" si="4"/>
        <v>80.16666666666667</v>
      </c>
      <c r="I26" s="658">
        <f aca="true" t="shared" si="5" ref="I26:I37">F26/36</f>
        <v>87.91666666666667</v>
      </c>
      <c r="J26" s="668"/>
      <c r="K26" s="675"/>
      <c r="L26" s="676"/>
      <c r="M26" s="677"/>
      <c r="N26" s="672"/>
    </row>
    <row r="27" spans="1:14" ht="22.5">
      <c r="A27" s="680"/>
      <c r="B27" s="679" t="s">
        <v>131</v>
      </c>
      <c r="C27" s="701" t="s">
        <v>8</v>
      </c>
      <c r="D27" s="666">
        <v>244</v>
      </c>
      <c r="E27" s="667">
        <v>323</v>
      </c>
      <c r="F27" s="702">
        <f t="shared" si="3"/>
        <v>567</v>
      </c>
      <c r="G27" s="656">
        <f t="shared" si="4"/>
        <v>13.555555555555555</v>
      </c>
      <c r="H27" s="657">
        <f t="shared" si="4"/>
        <v>17.944444444444443</v>
      </c>
      <c r="I27" s="658">
        <f t="shared" si="5"/>
        <v>15.75</v>
      </c>
      <c r="J27" s="668"/>
      <c r="K27" s="675"/>
      <c r="L27" s="676"/>
      <c r="M27" s="677"/>
      <c r="N27" s="672"/>
    </row>
    <row r="28" spans="1:14" ht="22.5">
      <c r="A28" s="680"/>
      <c r="B28" s="679" t="s">
        <v>132</v>
      </c>
      <c r="C28" s="701" t="s">
        <v>8</v>
      </c>
      <c r="D28" s="666">
        <v>2283</v>
      </c>
      <c r="E28" s="667">
        <v>801</v>
      </c>
      <c r="F28" s="702">
        <f t="shared" si="3"/>
        <v>3084</v>
      </c>
      <c r="G28" s="656">
        <f t="shared" si="4"/>
        <v>126.83333333333333</v>
      </c>
      <c r="H28" s="657">
        <f t="shared" si="4"/>
        <v>44.5</v>
      </c>
      <c r="I28" s="658">
        <f t="shared" si="5"/>
        <v>85.66666666666667</v>
      </c>
      <c r="J28" s="668"/>
      <c r="K28" s="675"/>
      <c r="L28" s="676"/>
      <c r="M28" s="677"/>
      <c r="N28" s="672"/>
    </row>
    <row r="29" spans="1:14" ht="22.5">
      <c r="A29" s="680"/>
      <c r="B29" s="679" t="s">
        <v>133</v>
      </c>
      <c r="C29" s="701" t="s">
        <v>8</v>
      </c>
      <c r="D29" s="666">
        <v>126</v>
      </c>
      <c r="E29" s="667">
        <v>417</v>
      </c>
      <c r="F29" s="702">
        <f t="shared" si="3"/>
        <v>543</v>
      </c>
      <c r="G29" s="656">
        <f t="shared" si="4"/>
        <v>7</v>
      </c>
      <c r="H29" s="657">
        <f t="shared" si="4"/>
        <v>23.166666666666668</v>
      </c>
      <c r="I29" s="658">
        <f t="shared" si="5"/>
        <v>15.083333333333334</v>
      </c>
      <c r="J29" s="668"/>
      <c r="K29" s="675"/>
      <c r="L29" s="676"/>
      <c r="M29" s="677"/>
      <c r="N29" s="672"/>
    </row>
    <row r="30" spans="1:14" ht="22.5">
      <c r="A30" s="680"/>
      <c r="B30" s="679" t="s">
        <v>134</v>
      </c>
      <c r="C30" s="701" t="s">
        <v>8</v>
      </c>
      <c r="D30" s="666"/>
      <c r="E30" s="667">
        <v>42</v>
      </c>
      <c r="F30" s="702">
        <f t="shared" si="3"/>
        <v>42</v>
      </c>
      <c r="G30" s="656">
        <f t="shared" si="4"/>
        <v>0</v>
      </c>
      <c r="H30" s="657">
        <f t="shared" si="4"/>
        <v>2.3333333333333335</v>
      </c>
      <c r="I30" s="658">
        <f t="shared" si="5"/>
        <v>1.1666666666666667</v>
      </c>
      <c r="J30" s="668"/>
      <c r="K30" s="675"/>
      <c r="L30" s="676"/>
      <c r="M30" s="677"/>
      <c r="N30" s="672"/>
    </row>
    <row r="31" spans="1:14" ht="22.5">
      <c r="A31" s="680"/>
      <c r="B31" s="679" t="s">
        <v>135</v>
      </c>
      <c r="C31" s="701" t="s">
        <v>8</v>
      </c>
      <c r="D31" s="666"/>
      <c r="E31" s="667">
        <v>21</v>
      </c>
      <c r="F31" s="702">
        <f t="shared" si="3"/>
        <v>21</v>
      </c>
      <c r="G31" s="656">
        <f t="shared" si="4"/>
        <v>0</v>
      </c>
      <c r="H31" s="657">
        <f t="shared" si="4"/>
        <v>1.1666666666666667</v>
      </c>
      <c r="I31" s="658">
        <f t="shared" si="5"/>
        <v>0.5833333333333334</v>
      </c>
      <c r="J31" s="668"/>
      <c r="K31" s="675"/>
      <c r="L31" s="676"/>
      <c r="M31" s="677"/>
      <c r="N31" s="672"/>
    </row>
    <row r="32" spans="1:14" ht="22.5">
      <c r="A32" s="680"/>
      <c r="B32" s="679" t="s">
        <v>136</v>
      </c>
      <c r="C32" s="701" t="s">
        <v>8</v>
      </c>
      <c r="D32" s="666">
        <v>1050</v>
      </c>
      <c r="E32" s="667">
        <v>726</v>
      </c>
      <c r="F32" s="702">
        <f t="shared" si="3"/>
        <v>1776</v>
      </c>
      <c r="G32" s="656">
        <f t="shared" si="4"/>
        <v>58.333333333333336</v>
      </c>
      <c r="H32" s="657">
        <f t="shared" si="4"/>
        <v>40.333333333333336</v>
      </c>
      <c r="I32" s="658">
        <f t="shared" si="5"/>
        <v>49.333333333333336</v>
      </c>
      <c r="J32" s="668"/>
      <c r="K32" s="675"/>
      <c r="L32" s="676"/>
      <c r="M32" s="677"/>
      <c r="N32" s="672"/>
    </row>
    <row r="33" spans="1:14" ht="22.5">
      <c r="A33" s="680"/>
      <c r="B33" s="679" t="s">
        <v>137</v>
      </c>
      <c r="C33" s="701" t="s">
        <v>8</v>
      </c>
      <c r="D33" s="666"/>
      <c r="E33" s="667">
        <v>114</v>
      </c>
      <c r="F33" s="702">
        <f t="shared" si="3"/>
        <v>114</v>
      </c>
      <c r="G33" s="656">
        <f t="shared" si="4"/>
        <v>0</v>
      </c>
      <c r="H33" s="657">
        <f t="shared" si="4"/>
        <v>6.333333333333333</v>
      </c>
      <c r="I33" s="658">
        <f t="shared" si="5"/>
        <v>3.1666666666666665</v>
      </c>
      <c r="J33" s="668"/>
      <c r="K33" s="675"/>
      <c r="L33" s="676"/>
      <c r="M33" s="677"/>
      <c r="N33" s="672"/>
    </row>
    <row r="34" spans="1:14" ht="22.5">
      <c r="A34" s="680"/>
      <c r="B34" s="679" t="s">
        <v>138</v>
      </c>
      <c r="C34" s="701" t="s">
        <v>8</v>
      </c>
      <c r="D34" s="666">
        <v>9</v>
      </c>
      <c r="E34" s="667">
        <v>72</v>
      </c>
      <c r="F34" s="702">
        <f t="shared" si="3"/>
        <v>81</v>
      </c>
      <c r="G34" s="656">
        <f t="shared" si="4"/>
        <v>0.5</v>
      </c>
      <c r="H34" s="657">
        <f t="shared" si="4"/>
        <v>4</v>
      </c>
      <c r="I34" s="658">
        <f t="shared" si="5"/>
        <v>2.25</v>
      </c>
      <c r="J34" s="668"/>
      <c r="K34" s="675"/>
      <c r="L34" s="676"/>
      <c r="M34" s="677"/>
      <c r="N34" s="672"/>
    </row>
    <row r="35" spans="1:14" ht="22.5">
      <c r="A35" s="680"/>
      <c r="B35" s="679" t="s">
        <v>152</v>
      </c>
      <c r="C35" s="701" t="s">
        <v>8</v>
      </c>
      <c r="D35" s="666">
        <v>132</v>
      </c>
      <c r="E35" s="667"/>
      <c r="F35" s="702">
        <f t="shared" si="3"/>
        <v>132</v>
      </c>
      <c r="G35" s="656">
        <f t="shared" si="4"/>
        <v>7.333333333333333</v>
      </c>
      <c r="H35" s="657">
        <f t="shared" si="4"/>
        <v>0</v>
      </c>
      <c r="I35" s="658">
        <f t="shared" si="5"/>
        <v>3.6666666666666665</v>
      </c>
      <c r="J35" s="668"/>
      <c r="K35" s="675"/>
      <c r="L35" s="676"/>
      <c r="M35" s="677"/>
      <c r="N35" s="672"/>
    </row>
    <row r="36" spans="1:14" ht="22.5">
      <c r="A36" s="680"/>
      <c r="B36" s="679" t="s">
        <v>153</v>
      </c>
      <c r="C36" s="701" t="s">
        <v>8</v>
      </c>
      <c r="D36" s="666"/>
      <c r="E36" s="667">
        <v>414</v>
      </c>
      <c r="F36" s="702">
        <f t="shared" si="3"/>
        <v>414</v>
      </c>
      <c r="G36" s="656">
        <f t="shared" si="4"/>
        <v>0</v>
      </c>
      <c r="H36" s="657">
        <f t="shared" si="4"/>
        <v>23</v>
      </c>
      <c r="I36" s="658">
        <f t="shared" si="5"/>
        <v>11.5</v>
      </c>
      <c r="J36" s="668"/>
      <c r="K36" s="675"/>
      <c r="L36" s="676"/>
      <c r="M36" s="677"/>
      <c r="N36" s="672"/>
    </row>
    <row r="37" spans="1:14" ht="22.5">
      <c r="A37" s="703"/>
      <c r="B37" s="704" t="s">
        <v>143</v>
      </c>
      <c r="C37" s="705" t="s">
        <v>8</v>
      </c>
      <c r="D37" s="706">
        <v>699</v>
      </c>
      <c r="E37" s="707">
        <v>852</v>
      </c>
      <c r="F37" s="706">
        <f t="shared" si="3"/>
        <v>1551</v>
      </c>
      <c r="G37" s="656">
        <f t="shared" si="4"/>
        <v>38.833333333333336</v>
      </c>
      <c r="H37" s="657">
        <f t="shared" si="4"/>
        <v>47.333333333333336</v>
      </c>
      <c r="I37" s="658">
        <f t="shared" si="5"/>
        <v>43.083333333333336</v>
      </c>
      <c r="J37" s="708"/>
      <c r="K37" s="709"/>
      <c r="L37" s="710"/>
      <c r="M37" s="711"/>
      <c r="N37" s="712"/>
    </row>
    <row r="38" spans="1:14" s="692" customFormat="1" ht="22.5">
      <c r="A38" s="855" t="s">
        <v>39</v>
      </c>
      <c r="B38" s="856"/>
      <c r="C38" s="681" t="s">
        <v>8</v>
      </c>
      <c r="D38" s="682">
        <f>SUM(D25:D37)</f>
        <v>6265</v>
      </c>
      <c r="E38" s="683">
        <f>SUM(E25:E37)</f>
        <v>5594</v>
      </c>
      <c r="F38" s="682">
        <f>SUM(D38:E38)</f>
        <v>11859</v>
      </c>
      <c r="G38" s="684">
        <f>SUM(D38/18)</f>
        <v>348.05555555555554</v>
      </c>
      <c r="H38" s="780">
        <f>SUM(E38/18)</f>
        <v>310.77777777777777</v>
      </c>
      <c r="I38" s="686">
        <f>SUM(F38/36)</f>
        <v>329.4166666666667</v>
      </c>
      <c r="J38" s="687">
        <v>20</v>
      </c>
      <c r="K38" s="688">
        <f>SUM(G38/J38)</f>
        <v>17.40277777777778</v>
      </c>
      <c r="L38" s="689">
        <f>SUM(H38/J38)</f>
        <v>15.538888888888888</v>
      </c>
      <c r="M38" s="690">
        <f>SUM(I38/J38)</f>
        <v>16.470833333333335</v>
      </c>
      <c r="N38" s="691" t="s">
        <v>35</v>
      </c>
    </row>
    <row r="39" spans="1:14" s="692" customFormat="1" ht="22.5" customHeight="1">
      <c r="A39" s="713"/>
      <c r="B39" s="714"/>
      <c r="C39" s="715"/>
      <c r="D39" s="716"/>
      <c r="E39" s="716"/>
      <c r="F39" s="716"/>
      <c r="G39" s="717"/>
      <c r="H39" s="717"/>
      <c r="I39" s="717"/>
      <c r="J39" s="718"/>
      <c r="K39" s="719"/>
      <c r="L39" s="720"/>
      <c r="M39" s="720"/>
      <c r="N39" s="721"/>
    </row>
    <row r="40" spans="1:12" ht="24.75">
      <c r="A40" s="722" t="s">
        <v>144</v>
      </c>
      <c r="B40" s="723"/>
      <c r="C40" s="724" t="s">
        <v>145</v>
      </c>
      <c r="D40" s="724"/>
      <c r="E40" s="724"/>
      <c r="F40" s="724"/>
      <c r="G40" s="725"/>
      <c r="H40" s="725"/>
      <c r="I40" s="725"/>
      <c r="J40" s="725"/>
      <c r="K40" s="725"/>
      <c r="L40" s="725"/>
    </row>
    <row r="41" spans="1:12" ht="24.75">
      <c r="A41" s="727"/>
      <c r="B41" s="728"/>
      <c r="C41" s="725" t="s">
        <v>146</v>
      </c>
      <c r="D41" s="725"/>
      <c r="E41" s="725"/>
      <c r="F41" s="725"/>
      <c r="G41" s="725"/>
      <c r="H41" s="725"/>
      <c r="I41" s="725"/>
      <c r="J41" s="725"/>
      <c r="K41" s="725"/>
      <c r="L41" s="725"/>
    </row>
    <row r="42" spans="1:3" ht="24.75">
      <c r="A42" s="729"/>
      <c r="B42" s="730"/>
      <c r="C42" s="725" t="s">
        <v>147</v>
      </c>
    </row>
    <row r="43" spans="1:3" ht="24.75">
      <c r="A43" s="727"/>
      <c r="B43" s="728"/>
      <c r="C43" s="725" t="s">
        <v>155</v>
      </c>
    </row>
    <row r="44" spans="1:2" ht="24.75">
      <c r="A44" s="727"/>
      <c r="B44" s="728"/>
    </row>
  </sheetData>
  <sheetProtection/>
  <mergeCells count="11">
    <mergeCell ref="A1:N1"/>
    <mergeCell ref="A2:N2"/>
    <mergeCell ref="A3:B5"/>
    <mergeCell ref="C3:C5"/>
    <mergeCell ref="D3:F4"/>
    <mergeCell ref="G3:I3"/>
    <mergeCell ref="J3:J5"/>
    <mergeCell ref="K3:M4"/>
    <mergeCell ref="G4:I4"/>
    <mergeCell ref="A20:B20"/>
    <mergeCell ref="A38:B38"/>
  </mergeCells>
  <printOptions/>
  <pageMargins left="0.95" right="0.09" top="0.67" bottom="0.5" header="0.5" footer="0.21"/>
  <pageSetup horizontalDpi="300" verticalDpi="300" orientation="landscape" paperSize="9" r:id="rId1"/>
  <headerFooter alignWithMargins="0"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Maejo</dc:creator>
  <cp:keywords/>
  <dc:description/>
  <cp:lastModifiedBy>Mr.KKD</cp:lastModifiedBy>
  <cp:lastPrinted>2017-06-14T07:31:49Z</cp:lastPrinted>
  <dcterms:created xsi:type="dcterms:W3CDTF">2001-02-07T08:07:27Z</dcterms:created>
  <dcterms:modified xsi:type="dcterms:W3CDTF">2019-03-20T03:37:38Z</dcterms:modified>
  <cp:category/>
  <cp:version/>
  <cp:contentType/>
  <cp:contentStatus/>
</cp:coreProperties>
</file>